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\\srv022sr\SL\DIVERSOS 2023\EDITAIS 2023\PE XX-2023 - Escavação em solo- SRP (GRD)\Termo de Referência e Anexos\"/>
    </mc:Choice>
  </mc:AlternateContent>
  <xr:revisionPtr revIDLastSave="0" documentId="8_{F5AFB67B-00C8-4811-AB74-85EA379145B9}" xr6:coauthVersionLast="47" xr6:coauthVersionMax="47" xr10:uidLastSave="{00000000-0000-0000-0000-000000000000}"/>
  <bookViews>
    <workbookView xWindow="-120" yWindow="-120" windowWidth="29040" windowHeight="15720" tabRatio="876" xr2:uid="{00000000-000D-0000-FFFF-FFFF00000000}"/>
  </bookViews>
  <sheets>
    <sheet name="PLANILHA GLOBAL" sheetId="106" r:id="rId1"/>
    <sheet name="COMP. MÓD. 1.000 M³" sheetId="102" r:id="rId2"/>
    <sheet name="COMPOSIÇÕES - SICRO" sheetId="95" r:id="rId3"/>
    <sheet name="COMPOSIÇÕES SINAPI" sheetId="100" r:id="rId4"/>
    <sheet name="INSUMOS - PREÇOS" sheetId="93" r:id="rId5"/>
    <sheet name="MOBILIZAÇÃO" sheetId="97" r:id="rId6"/>
    <sheet name="BDI" sheetId="104" r:id="rId7"/>
    <sheet name="DET. ENCARGOS" sheetId="105" r:id="rId8"/>
    <sheet name="CRONO FISICO-FINANCEIRO" sheetId="107" r:id="rId9"/>
  </sheets>
  <definedNames>
    <definedName name="_10af_4">#REF!</definedName>
    <definedName name="_11ag_1">#REF!</definedName>
    <definedName name="_12ag_2">#REF!</definedName>
    <definedName name="_13ag_3">#REF!</definedName>
    <definedName name="_14ag_4">#REF!</definedName>
    <definedName name="_15cho_1">#REF!</definedName>
    <definedName name="_16cho_2">#REF!</definedName>
    <definedName name="_17cho_3">#REF!</definedName>
    <definedName name="_18cho_4">#REF!</definedName>
    <definedName name="_19ci_1">#REF!</definedName>
    <definedName name="_1a_1">#REF!</definedName>
    <definedName name="_20ci_2">#REF!</definedName>
    <definedName name="_21ci_3">#REF!</definedName>
    <definedName name="_22ci_4">#REF!</definedName>
    <definedName name="_23Excel_BuiltIn_Print_Area_2">#REF!</definedName>
    <definedName name="_24Excel_BuiltIn_Print_Area_3">#REF!</definedName>
    <definedName name="_26Excel_BuiltIn_Print_Area_7_1_1">#REF!</definedName>
    <definedName name="_27Excel_BuiltIn_Print_Area_8_1">(#REF!,#REF!,#REF!,#REF!,#REF!)</definedName>
    <definedName name="_28ls_1">#REF!</definedName>
    <definedName name="_29ls_2">#REF!</definedName>
    <definedName name="_2a_2">#REF!</definedName>
    <definedName name="_30ls_3">#REF!</definedName>
    <definedName name="_31ls_4">#REF!</definedName>
    <definedName name="_32lub_1">#REF!</definedName>
    <definedName name="_33lub_2">#REF!</definedName>
    <definedName name="_34lub_3">#REF!</definedName>
    <definedName name="_35lub_4">#REF!</definedName>
    <definedName name="_36meio_1">#REF!</definedName>
    <definedName name="_37meio_2">#REF!</definedName>
    <definedName name="_38meio_3">#REF!</definedName>
    <definedName name="_39meio_4">#REF!</definedName>
    <definedName name="_3a_3">#REF!</definedName>
    <definedName name="_40od_1">#REF!</definedName>
    <definedName name="_41od_2">#REF!</definedName>
    <definedName name="_42od_3">#REF!</definedName>
    <definedName name="_43od_4">#REF!</definedName>
    <definedName name="_44of_1">#REF!</definedName>
    <definedName name="_45of_2">#REF!</definedName>
    <definedName name="_46of_3">#REF!</definedName>
    <definedName name="_47of_4">#REF!</definedName>
    <definedName name="_48pdm_1">#REF!</definedName>
    <definedName name="_49pdm_2">#REF!</definedName>
    <definedName name="_4aaa_1">#REF!</definedName>
    <definedName name="_50pdm_3">#REF!</definedName>
    <definedName name="_51pdm_4">#REF!</definedName>
    <definedName name="_52pedra_1">#REF!</definedName>
    <definedName name="_53pedra_2">#REF!</definedName>
    <definedName name="_54pedra_3">#REF!</definedName>
    <definedName name="_55pedra_4">#REF!</definedName>
    <definedName name="_56port_1">#REF!</definedName>
    <definedName name="_57port_2">#REF!</definedName>
    <definedName name="_58port_3">#REF!</definedName>
    <definedName name="_59port_4">#REF!</definedName>
    <definedName name="_5aaa_2">#REF!</definedName>
    <definedName name="_60PREF_1">#REF!</definedName>
    <definedName name="_61PREF_2">#REF!</definedName>
    <definedName name="_62PREF_3">#REF!</definedName>
    <definedName name="_63PREF_4">#REF!</definedName>
    <definedName name="_64rrrrrrrrrrrr_1">#REF!</definedName>
    <definedName name="_65rrrrrrrrrrrr_2">#REF!</definedName>
    <definedName name="_66rrrrrrrrrrrr_3">#REF!</definedName>
    <definedName name="_67rrrrrrrrrrrr_4">#REF!</definedName>
    <definedName name="_68ruas_1">#REF!</definedName>
    <definedName name="_69ruas_2">#REF!</definedName>
    <definedName name="_6aaa_3">#REF!</definedName>
    <definedName name="_70ruas_3">#REF!</definedName>
    <definedName name="_71ruas_4">#REF!</definedName>
    <definedName name="_72se_1">#REF!</definedName>
    <definedName name="_73se_2">#REF!</definedName>
    <definedName name="_74se_3">#REF!</definedName>
    <definedName name="_75se_4">#REF!</definedName>
    <definedName name="_76sx_1">#REF!</definedName>
    <definedName name="_77sx_2">#REF!</definedName>
    <definedName name="_78sx_3">#REF!</definedName>
    <definedName name="_79sx_4">#REF!</definedName>
    <definedName name="_7af_1">#REF!</definedName>
    <definedName name="_80tb100cm_1">#REF!</definedName>
    <definedName name="_81tb100cm_2">#REF!</definedName>
    <definedName name="_82tb100cm_3">#REF!</definedName>
    <definedName name="_83tb100cm_4">#REF!</definedName>
    <definedName name="_84total_1">#REF!</definedName>
    <definedName name="_85total_2">#REF!</definedName>
    <definedName name="_86total_3">#REF!</definedName>
    <definedName name="_87total_4">#REF!</definedName>
    <definedName name="_8af_2">#REF!</definedName>
    <definedName name="_9af_3">#REF!</definedName>
    <definedName name="_aga14">#REF!</definedName>
    <definedName name="_aga16">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c15">#REF!</definedName>
    <definedName name="_esc4">#REF!</definedName>
    <definedName name="_esc6">#REF!</definedName>
    <definedName name="_est15">#REF!</definedName>
    <definedName name="_fil1">#REF!</definedName>
    <definedName name="_fil2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aa">#REF!</definedName>
    <definedName name="AAAAA">#REF!</definedName>
    <definedName name="AccessDatabase" hidden="1">"D:\Arquivos do excel\Planilha modelo1.mdb"</definedName>
    <definedName name="acl">#REF!</definedName>
    <definedName name="aço">#REF!</definedName>
    <definedName name="ade">#REF!</definedName>
    <definedName name="adtimp">#REF!</definedName>
    <definedName name="af" localSheetId="3">#REF!</definedName>
    <definedName name="af" localSheetId="5">#REF!</definedName>
    <definedName name="af">#REF!</definedName>
    <definedName name="af_1">#REF!</definedName>
    <definedName name="aff">#REF!</definedName>
    <definedName name="afi">#REF!</definedName>
    <definedName name="afp">#REF!</definedName>
    <definedName name="ag" localSheetId="3">#REF!</definedName>
    <definedName name="ag" localSheetId="5">#REF!</definedName>
    <definedName name="ag">#REF!</definedName>
    <definedName name="ag_1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nb">#REF!</definedName>
    <definedName name="apc">#REF!</definedName>
    <definedName name="apmfs">#REF!</definedName>
    <definedName name="are">#REF!</definedName>
    <definedName name="_xlnm.Print_Area" localSheetId="6">BDI!$B$1:$I$37</definedName>
    <definedName name="_xlnm.Print_Area" localSheetId="1">'COMP. MÓD. 1.000 M³'!$A$1:$K$32</definedName>
    <definedName name="_xlnm.Print_Area" localSheetId="8">'CRONO FISICO-FINANCEIRO'!$A$1:$R$32</definedName>
    <definedName name="_xlnm.Print_Area" localSheetId="7">'DET. ENCARGOS'!$A$1:$D$45</definedName>
    <definedName name="_xlnm.Print_Area" localSheetId="4">'INSUMOS - PREÇOS'!$A$1:$G$24</definedName>
    <definedName name="_xlnm.Print_Area" localSheetId="5">MOBILIZAÇÃO!$B$2:$O$27</definedName>
    <definedName name="_xlnm.Print_Area" localSheetId="0">'PLANILHA GLOBAL'!$A$1:$M$31</definedName>
    <definedName name="Asf">#REF!</definedName>
    <definedName name="B320I">#REF!</definedName>
    <definedName name="B320P">#REF!</definedName>
    <definedName name="B500I">#REF!</definedName>
    <definedName name="B500P">#REF!</definedName>
    <definedName name="BALTO" localSheetId="3">#REF!</definedName>
    <definedName name="BALTO" localSheetId="5">#REF!</definedName>
    <definedName name="BALTO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et">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ho" localSheetId="3">#REF!</definedName>
    <definedName name="cho" localSheetId="5">#REF!</definedName>
    <definedName name="cho">#REF!</definedName>
    <definedName name="cho_1">#REF!</definedName>
    <definedName name="ci" localSheetId="3">#REF!</definedName>
    <definedName name="ci" localSheetId="5">#REF!</definedName>
    <definedName name="ci">#REF!</definedName>
    <definedName name="ci_1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D_ATRIUM" localSheetId="3">#REF!</definedName>
    <definedName name="COD_ATRIUM">#REF!</definedName>
    <definedName name="COD_SINAPI" localSheetId="3">#REF!</definedName>
    <definedName name="COD_SINAPI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atabase">#REF!</definedName>
    <definedName name="descnt">#REF!</definedName>
    <definedName name="descont">#REF!</definedName>
    <definedName name="desm">#REF!</definedName>
    <definedName name="DIE">#REF!</definedName>
    <definedName name="DIF">#REF!</definedName>
    <definedName name="DKM">#REF!</definedName>
    <definedName name="E">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R">NA()</definedName>
    <definedName name="esm">#REF!</definedName>
    <definedName name="est">#REF!</definedName>
    <definedName name="est1.5_15">#REF!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10_1">#REF!</definedName>
    <definedName name="Excel_BuiltIn_Print_Area_11_1">#REF!</definedName>
    <definedName name="Excel_BuiltIn_Print_Area_13_1">#REF!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_1_1">NA()</definedName>
    <definedName name="Excel_BuiltIn_Print_Area_20">#REF!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_1">#REF!</definedName>
    <definedName name="Excel_BuiltIn_Print_Area_33_1">#REF!</definedName>
    <definedName name="Excel_BuiltIn_Print_Area_4">#REF!</definedName>
    <definedName name="Excel_BuiltIn_Print_Area_5_1">#REF!</definedName>
    <definedName name="Excel_BuiltIn_Print_Area_6_1">#REF!</definedName>
    <definedName name="Excel_BuiltIn_Print_Area_7_1">(#REF!,#REF!,#REF!,#REF!,#REF!)</definedName>
    <definedName name="Excel_BuiltIn_Print_Area_9_1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18">#REF!</definedName>
    <definedName name="Excel_BuiltIn_Print_Titles_20">#REF!</definedName>
    <definedName name="Excel_BuiltIn_Print_Titles_3">NA()</definedName>
    <definedName name="FATOR">NA()</definedName>
    <definedName name="fcm">#REF!</definedName>
    <definedName name="fer">#REF!</definedName>
    <definedName name="FoFo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pf">#REF!</definedName>
    <definedName name="itus1">#REF!</definedName>
    <definedName name="jazida5" localSheetId="3">#REF!</definedName>
    <definedName name="jazida5">#REF!</definedName>
    <definedName name="jazida6" localSheetId="3">#REF!</definedName>
    <definedName name="jazida6">#REF!</definedName>
    <definedName name="jla1_220">#REF!</definedName>
    <definedName name="JRS">#REF!</definedName>
    <definedName name="lm6_3">#REF!</definedName>
    <definedName name="lnm">#REF!</definedName>
    <definedName name="lpb">#REF!</definedName>
    <definedName name="ls" localSheetId="3">#REF!</definedName>
    <definedName name="ls">#REF!</definedName>
    <definedName name="ls_1">#REF!</definedName>
    <definedName name="LSO">#REF!</definedName>
    <definedName name="lub" localSheetId="3">#REF!</definedName>
    <definedName name="lub">#REF!</definedName>
    <definedName name="lub_1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BV">#REF!</definedName>
    <definedName name="mdn">#REF!</definedName>
    <definedName name="meio" localSheetId="3">#REF!</definedName>
    <definedName name="meio">#REF!</definedName>
    <definedName name="meio_1">#REF!</definedName>
    <definedName name="MNI">#REF!</definedName>
    <definedName name="MNP">#REF!</definedName>
    <definedName name="mour">#REF!</definedName>
    <definedName name="mpm2.5">#REF!</definedName>
    <definedName name="msv">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od" localSheetId="3">#REF!</definedName>
    <definedName name="od">#REF!</definedName>
    <definedName name="od_1">#REF!</definedName>
    <definedName name="odi">#REF!</definedName>
    <definedName name="of" localSheetId="3">#REF!</definedName>
    <definedName name="of">#REF!</definedName>
    <definedName name="of_1">#REF!</definedName>
    <definedName name="ofi">#REF!</definedName>
    <definedName name="OGU">#REF!</definedName>
    <definedName name="oli">#REF!</definedName>
    <definedName name="Par">#REF!</definedName>
    <definedName name="pcf60x210">#REF!</definedName>
    <definedName name="pcf80x200">#REF!</definedName>
    <definedName name="pcf80x210">#REF!</definedName>
    <definedName name="pcfc">#REF!</definedName>
    <definedName name="pdm" localSheetId="3">#REF!</definedName>
    <definedName name="pdm">#REF!</definedName>
    <definedName name="pdm_1">#REF!</definedName>
    <definedName name="pedra" localSheetId="3">#REF!</definedName>
    <definedName name="pedra">#REF!</definedName>
    <definedName name="pedra_1">#REF!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MS">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rt" localSheetId="3">#REF!</definedName>
    <definedName name="port">#REF!</definedName>
    <definedName name="port_1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 localSheetId="3">#REF!</definedName>
    <definedName name="PREF">#REF!</definedName>
    <definedName name="PREF_1">#REF!</definedName>
    <definedName name="pref_4">#REF!</definedName>
    <definedName name="prf">#REF!</definedName>
    <definedName name="prg">#REF!</definedName>
    <definedName name="PROJ">#REF!</definedName>
    <definedName name="prtm">#REF!</definedName>
    <definedName name="ptt3x2">#REF!</definedName>
    <definedName name="PVC">#REF!</definedName>
    <definedName name="qgm">#REF!</definedName>
    <definedName name="rdt13.8">#REF!</definedName>
    <definedName name="rec">#REF!</definedName>
    <definedName name="Recorder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rrrrrrrrrrrr">#REF!</definedName>
    <definedName name="rrrrrrrrrrrr_1">#REF!</definedName>
    <definedName name="ruas" localSheetId="3">#REF!</definedName>
    <definedName name="ruas">#REF!</definedName>
    <definedName name="ruas_1">#REF!</definedName>
    <definedName name="s" localSheetId="3">#REF!</definedName>
    <definedName name="s">#REF!</definedName>
    <definedName name="s14_">#REF!</definedName>
    <definedName name="SAL">#REF!</definedName>
    <definedName name="se" localSheetId="3">#REF!</definedName>
    <definedName name="se">#REF!</definedName>
    <definedName name="se_1">#REF!</definedName>
    <definedName name="seat15">#REF!</definedName>
    <definedName name="sin">#REF!</definedName>
    <definedName name="sollimp">#REF!</definedName>
    <definedName name="srv">#REF!</definedName>
    <definedName name="sum">#REF!</definedName>
    <definedName name="svt">#REF!</definedName>
    <definedName name="sx" localSheetId="3">#REF!</definedName>
    <definedName name="sx">#REF!</definedName>
    <definedName name="sx_1">#REF!</definedName>
    <definedName name="sxo">#REF!</definedName>
    <definedName name="tb100cm" localSheetId="3">#REF!</definedName>
    <definedName name="tb100cm">#REF!</definedName>
    <definedName name="tb100cm_1">#REF!</definedName>
    <definedName name="tbv">#REF!</definedName>
    <definedName name="ted">#REF!</definedName>
    <definedName name="ter">#REF!</definedName>
    <definedName name="tes">#REF!</definedName>
    <definedName name="TID">#REF!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" localSheetId="3">#REF!</definedName>
    <definedName name="total">#REF!</definedName>
    <definedName name="total_1">#REF!</definedName>
    <definedName name="TOTAL_RESUMO">NA()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VTE">#REF!</definedName>
    <definedName name="w">NA()</definedName>
    <definedName name="xxxxx">#REF!</definedName>
    <definedName name="xxxxxxxxxxxxxx">#REF!</definedName>
    <definedName name="za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06" l="1"/>
  <c r="F9" i="102"/>
  <c r="R29" i="107" l="1"/>
  <c r="C28" i="107"/>
  <c r="R27" i="107"/>
  <c r="C26" i="107"/>
  <c r="R25" i="107"/>
  <c r="C24" i="107"/>
  <c r="R23" i="107"/>
  <c r="C22" i="107"/>
  <c r="R21" i="107"/>
  <c r="C20" i="107"/>
  <c r="R17" i="107"/>
  <c r="C16" i="107"/>
  <c r="R15" i="107"/>
  <c r="C14" i="107"/>
  <c r="R13" i="107"/>
  <c r="D12" i="107"/>
  <c r="C12" i="107"/>
  <c r="D10" i="107"/>
  <c r="C10" i="107"/>
  <c r="R9" i="107"/>
  <c r="C8" i="107"/>
  <c r="R7" i="107"/>
  <c r="C6" i="107"/>
  <c r="D44" i="105"/>
  <c r="C44" i="105"/>
  <c r="D40" i="105"/>
  <c r="C40" i="105"/>
  <c r="D33" i="105"/>
  <c r="C33" i="105"/>
  <c r="D21" i="105"/>
  <c r="D45" i="105" s="1"/>
  <c r="C21" i="105"/>
  <c r="C45" i="105" s="1"/>
  <c r="D29" i="104"/>
  <c r="I27" i="104"/>
  <c r="D26" i="104"/>
  <c r="D21" i="104"/>
  <c r="D16" i="104"/>
  <c r="D15" i="104"/>
  <c r="D14" i="104"/>
  <c r="D13" i="104"/>
  <c r="D36" i="104" s="1"/>
  <c r="B27" i="97"/>
  <c r="I24" i="97"/>
  <c r="D19" i="97"/>
  <c r="G30" i="100"/>
  <c r="H30" i="100" s="1"/>
  <c r="E30" i="100"/>
  <c r="D30" i="100"/>
  <c r="C30" i="100"/>
  <c r="G29" i="100"/>
  <c r="H29" i="100" s="1"/>
  <c r="E29" i="100"/>
  <c r="D29" i="100"/>
  <c r="C29" i="100"/>
  <c r="H28" i="100"/>
  <c r="G28" i="100"/>
  <c r="E28" i="100"/>
  <c r="D28" i="100"/>
  <c r="C28" i="100"/>
  <c r="G27" i="100"/>
  <c r="H27" i="100" s="1"/>
  <c r="E27" i="100"/>
  <c r="D27" i="100"/>
  <c r="C27" i="100"/>
  <c r="G26" i="100"/>
  <c r="H26" i="100" s="1"/>
  <c r="E26" i="100"/>
  <c r="D26" i="100"/>
  <c r="C26" i="100"/>
  <c r="G25" i="100"/>
  <c r="H25" i="100" s="1"/>
  <c r="E25" i="100"/>
  <c r="D25" i="100"/>
  <c r="C25" i="100"/>
  <c r="H24" i="100"/>
  <c r="G24" i="100"/>
  <c r="E24" i="100"/>
  <c r="D24" i="100"/>
  <c r="C24" i="100"/>
  <c r="G23" i="100"/>
  <c r="H23" i="100" s="1"/>
  <c r="E23" i="100"/>
  <c r="D23" i="100"/>
  <c r="C23" i="100"/>
  <c r="H22" i="100"/>
  <c r="G22" i="100"/>
  <c r="E22" i="100"/>
  <c r="D22" i="100"/>
  <c r="C22" i="100"/>
  <c r="G21" i="100"/>
  <c r="H21" i="100" s="1"/>
  <c r="E21" i="100"/>
  <c r="D21" i="100"/>
  <c r="C21" i="100"/>
  <c r="G17" i="100"/>
  <c r="F17" i="100"/>
  <c r="H17" i="100" s="1"/>
  <c r="E17" i="100"/>
  <c r="D17" i="100"/>
  <c r="C17" i="100"/>
  <c r="H16" i="100"/>
  <c r="H18" i="100" s="1"/>
  <c r="G17" i="102" s="1"/>
  <c r="H17" i="102" s="1"/>
  <c r="G16" i="100"/>
  <c r="F16" i="100"/>
  <c r="E16" i="100"/>
  <c r="D16" i="100"/>
  <c r="C16" i="100"/>
  <c r="G182" i="95"/>
  <c r="I182" i="95" s="1"/>
  <c r="I183" i="95" s="1"/>
  <c r="I186" i="95" s="1"/>
  <c r="I187" i="95" s="1"/>
  <c r="F182" i="95"/>
  <c r="B182" i="95"/>
  <c r="A182" i="95"/>
  <c r="G155" i="95"/>
  <c r="I155" i="95" s="1"/>
  <c r="I156" i="95" s="1"/>
  <c r="I159" i="95" s="1"/>
  <c r="I160" i="95" s="1"/>
  <c r="F155" i="95"/>
  <c r="B155" i="95"/>
  <c r="A155" i="95"/>
  <c r="I131" i="95"/>
  <c r="F130" i="95"/>
  <c r="I130" i="95" s="1"/>
  <c r="B130" i="95"/>
  <c r="A130" i="95"/>
  <c r="I127" i="95"/>
  <c r="I128" i="95" s="1"/>
  <c r="I132" i="95" s="1"/>
  <c r="I133" i="95" s="1"/>
  <c r="G127" i="95"/>
  <c r="F127" i="95"/>
  <c r="B127" i="95"/>
  <c r="A127" i="95"/>
  <c r="H123" i="95"/>
  <c r="F102" i="95"/>
  <c r="I102" i="95" s="1"/>
  <c r="I103" i="95" s="1"/>
  <c r="B102" i="95"/>
  <c r="A102" i="95"/>
  <c r="G99" i="95"/>
  <c r="I99" i="95" s="1"/>
  <c r="I100" i="95" s="1"/>
  <c r="I104" i="95" s="1"/>
  <c r="I105" i="95" s="1"/>
  <c r="F99" i="95"/>
  <c r="B99" i="95"/>
  <c r="A99" i="95"/>
  <c r="H95" i="95"/>
  <c r="F74" i="95"/>
  <c r="I74" i="95" s="1"/>
  <c r="I75" i="95" s="1"/>
  <c r="B74" i="95"/>
  <c r="A74" i="95"/>
  <c r="G71" i="95"/>
  <c r="F71" i="95"/>
  <c r="I71" i="95" s="1"/>
  <c r="B71" i="95"/>
  <c r="A71" i="95"/>
  <c r="G70" i="95"/>
  <c r="F70" i="95"/>
  <c r="I70" i="95" s="1"/>
  <c r="I72" i="95" s="1"/>
  <c r="B70" i="95"/>
  <c r="A70" i="95"/>
  <c r="I46" i="95"/>
  <c r="I45" i="95"/>
  <c r="F45" i="95"/>
  <c r="B45" i="95"/>
  <c r="A45" i="95"/>
  <c r="I43" i="95"/>
  <c r="G42" i="95"/>
  <c r="F42" i="95"/>
  <c r="I42" i="95" s="1"/>
  <c r="B42" i="95"/>
  <c r="A42" i="95"/>
  <c r="I17" i="95"/>
  <c r="I18" i="95" s="1"/>
  <c r="F17" i="95"/>
  <c r="B17" i="95"/>
  <c r="A17" i="95"/>
  <c r="G14" i="95"/>
  <c r="F14" i="95"/>
  <c r="B14" i="95"/>
  <c r="A14" i="95"/>
  <c r="F27" i="102"/>
  <c r="E27" i="102"/>
  <c r="C27" i="102"/>
  <c r="E26" i="102"/>
  <c r="C26" i="102"/>
  <c r="F25" i="102"/>
  <c r="E25" i="102"/>
  <c r="C25" i="102"/>
  <c r="E24" i="102"/>
  <c r="C24" i="102"/>
  <c r="F23" i="102"/>
  <c r="E23" i="102"/>
  <c r="C23" i="102"/>
  <c r="E20" i="102"/>
  <c r="C20" i="102"/>
  <c r="E19" i="102"/>
  <c r="C19" i="102"/>
  <c r="F18" i="102"/>
  <c r="E18" i="102"/>
  <c r="D18" i="102"/>
  <c r="C18" i="102"/>
  <c r="E17" i="102"/>
  <c r="D17" i="102"/>
  <c r="C17" i="102"/>
  <c r="E16" i="102"/>
  <c r="C16" i="102"/>
  <c r="E15" i="102"/>
  <c r="C15" i="102"/>
  <c r="J9" i="102"/>
  <c r="F28" i="106"/>
  <c r="H28" i="106" s="1"/>
  <c r="E28" i="106"/>
  <c r="C28" i="106"/>
  <c r="F27" i="106"/>
  <c r="H27" i="106" s="1"/>
  <c r="E27" i="106"/>
  <c r="C27" i="106"/>
  <c r="F26" i="106"/>
  <c r="H26" i="106" s="1"/>
  <c r="E26" i="106"/>
  <c r="C26" i="106"/>
  <c r="H25" i="106"/>
  <c r="F25" i="106"/>
  <c r="E25" i="106"/>
  <c r="C25" i="106"/>
  <c r="F24" i="106"/>
  <c r="H24" i="106" s="1"/>
  <c r="E24" i="106"/>
  <c r="C24" i="106"/>
  <c r="E21" i="106"/>
  <c r="C21" i="106"/>
  <c r="E20" i="106"/>
  <c r="C20" i="106"/>
  <c r="F19" i="106"/>
  <c r="H19" i="106" s="1"/>
  <c r="E19" i="106"/>
  <c r="D19" i="106"/>
  <c r="C19" i="106"/>
  <c r="F18" i="106"/>
  <c r="D18" i="106"/>
  <c r="C18" i="106"/>
  <c r="G17" i="106"/>
  <c r="E17" i="106"/>
  <c r="C17" i="106"/>
  <c r="E16" i="106"/>
  <c r="C16" i="106"/>
  <c r="M9" i="106"/>
  <c r="F9" i="106"/>
  <c r="I106" i="95" l="1"/>
  <c r="I112" i="95" s="1"/>
  <c r="I118" i="95" s="1"/>
  <c r="I134" i="95"/>
  <c r="I146" i="95" s="1"/>
  <c r="I140" i="95"/>
  <c r="I161" i="95"/>
  <c r="I167" i="95" s="1"/>
  <c r="I173" i="95" s="1"/>
  <c r="I194" i="95"/>
  <c r="I200" i="95" s="1"/>
  <c r="I188" i="95"/>
  <c r="I76" i="95"/>
  <c r="I77" i="95" s="1"/>
  <c r="I18" i="106"/>
  <c r="H31" i="100"/>
  <c r="I17" i="102"/>
  <c r="J17" i="102" s="1"/>
  <c r="I14" i="95"/>
  <c r="I15" i="95" s="1"/>
  <c r="I19" i="95" s="1"/>
  <c r="I20" i="95" s="1"/>
  <c r="I47" i="95"/>
  <c r="I48" i="95" s="1"/>
  <c r="D17" i="104"/>
  <c r="G27" i="97"/>
  <c r="G15" i="102" l="1"/>
  <c r="I15" i="102" s="1"/>
  <c r="I16" i="106"/>
  <c r="K16" i="106" s="1"/>
  <c r="G19" i="102"/>
  <c r="I19" i="102" s="1"/>
  <c r="I20" i="106"/>
  <c r="K20" i="106" s="1"/>
  <c r="I26" i="106"/>
  <c r="G25" i="102"/>
  <c r="G23" i="102"/>
  <c r="I24" i="106"/>
  <c r="G16" i="102"/>
  <c r="I16" i="102" s="1"/>
  <c r="G20" i="102"/>
  <c r="I20" i="102" s="1"/>
  <c r="I21" i="106"/>
  <c r="K21" i="106" s="1"/>
  <c r="I17" i="106"/>
  <c r="K17" i="106" s="1"/>
  <c r="I19" i="106"/>
  <c r="G18" i="102"/>
  <c r="F20" i="102"/>
  <c r="F19" i="102"/>
  <c r="F15" i="102"/>
  <c r="F16" i="102"/>
  <c r="I21" i="95"/>
  <c r="I27" i="95" s="1"/>
  <c r="I33" i="95" s="1"/>
  <c r="I78" i="95"/>
  <c r="I84" i="95" s="1"/>
  <c r="I90" i="95" s="1"/>
  <c r="I49" i="95"/>
  <c r="I55" i="95" s="1"/>
  <c r="I61" i="95" s="1"/>
  <c r="K18" i="106"/>
  <c r="L18" i="106" s="1"/>
  <c r="J18" i="106"/>
  <c r="G24" i="102" l="1"/>
  <c r="I25" i="106"/>
  <c r="I27" i="106"/>
  <c r="G26" i="102"/>
  <c r="I28" i="106"/>
  <c r="G27" i="102"/>
  <c r="F20" i="106"/>
  <c r="H20" i="106" s="1"/>
  <c r="H19" i="102"/>
  <c r="H20" i="102"/>
  <c r="F21" i="106"/>
  <c r="H21" i="106" s="1"/>
  <c r="J19" i="102"/>
  <c r="H18" i="102"/>
  <c r="I18" i="102"/>
  <c r="J18" i="102" s="1"/>
  <c r="K24" i="106"/>
  <c r="L24" i="106" s="1"/>
  <c r="J24" i="106"/>
  <c r="I23" i="102"/>
  <c r="J23" i="102" s="1"/>
  <c r="H23" i="102"/>
  <c r="E10" i="107"/>
  <c r="F17" i="106"/>
  <c r="H17" i="106" s="1"/>
  <c r="H16" i="102"/>
  <c r="J20" i="102"/>
  <c r="I25" i="102"/>
  <c r="J25" i="102" s="1"/>
  <c r="H25" i="102"/>
  <c r="H15" i="102"/>
  <c r="F16" i="106"/>
  <c r="H16" i="106" s="1"/>
  <c r="K19" i="106"/>
  <c r="L19" i="106" s="1"/>
  <c r="J19" i="106"/>
  <c r="J16" i="102"/>
  <c r="K26" i="106"/>
  <c r="L26" i="106" s="1"/>
  <c r="J26" i="106"/>
  <c r="J15" i="102"/>
  <c r="E12" i="107" l="1"/>
  <c r="L20" i="106"/>
  <c r="J20" i="106"/>
  <c r="K27" i="106"/>
  <c r="L27" i="106" s="1"/>
  <c r="J27" i="106"/>
  <c r="E24" i="107"/>
  <c r="L16" i="106"/>
  <c r="J16" i="106"/>
  <c r="E20" i="107"/>
  <c r="J21" i="106"/>
  <c r="L21" i="106"/>
  <c r="I27" i="102"/>
  <c r="J27" i="102" s="1"/>
  <c r="H27" i="102"/>
  <c r="K25" i="106"/>
  <c r="L25" i="106" s="1"/>
  <c r="J25" i="106"/>
  <c r="J21" i="102"/>
  <c r="J17" i="106"/>
  <c r="L17" i="106"/>
  <c r="H26" i="102"/>
  <c r="I26" i="102"/>
  <c r="J26" i="102" s="1"/>
  <c r="K28" i="106"/>
  <c r="L28" i="106" s="1"/>
  <c r="J28" i="106"/>
  <c r="I24" i="102"/>
  <c r="J24" i="102" s="1"/>
  <c r="H24" i="102"/>
  <c r="E22" i="107" l="1"/>
  <c r="P24" i="107"/>
  <c r="L24" i="107"/>
  <c r="H24" i="107"/>
  <c r="Q24" i="107"/>
  <c r="K24" i="107"/>
  <c r="F24" i="107"/>
  <c r="O24" i="107"/>
  <c r="J24" i="107"/>
  <c r="N24" i="107"/>
  <c r="I24" i="107"/>
  <c r="M24" i="107"/>
  <c r="G24" i="107"/>
  <c r="N12" i="107"/>
  <c r="J12" i="107"/>
  <c r="F12" i="107"/>
  <c r="P12" i="107"/>
  <c r="K12" i="107"/>
  <c r="O12" i="107"/>
  <c r="I12" i="107"/>
  <c r="M12" i="107"/>
  <c r="H12" i="107"/>
  <c r="Q12" i="107"/>
  <c r="L12" i="107"/>
  <c r="G12" i="107"/>
  <c r="J28" i="102"/>
  <c r="J30" i="102" s="1"/>
  <c r="L29" i="106"/>
  <c r="E14" i="107"/>
  <c r="E28" i="107"/>
  <c r="N20" i="107"/>
  <c r="J20" i="107"/>
  <c r="F20" i="107"/>
  <c r="O20" i="107"/>
  <c r="I20" i="107"/>
  <c r="M20" i="107"/>
  <c r="H20" i="107"/>
  <c r="Q20" i="107"/>
  <c r="L20" i="107"/>
  <c r="G20" i="107"/>
  <c r="P20" i="107"/>
  <c r="K20" i="107"/>
  <c r="E8" i="107"/>
  <c r="E16" i="107"/>
  <c r="E6" i="107"/>
  <c r="L22" i="106"/>
  <c r="E26" i="107"/>
  <c r="K26" i="102" l="1"/>
  <c r="K27" i="102"/>
  <c r="L31" i="106"/>
  <c r="M22" i="106" s="1"/>
  <c r="R24" i="107"/>
  <c r="S24" i="107" s="1"/>
  <c r="R20" i="107"/>
  <c r="N28" i="107"/>
  <c r="J28" i="107"/>
  <c r="F28" i="107"/>
  <c r="M28" i="107"/>
  <c r="H28" i="107"/>
  <c r="Q28" i="107"/>
  <c r="L28" i="107"/>
  <c r="G28" i="107"/>
  <c r="P28" i="107"/>
  <c r="K28" i="107"/>
  <c r="O28" i="107"/>
  <c r="I28" i="107"/>
  <c r="Q22" i="107"/>
  <c r="M22" i="107"/>
  <c r="I22" i="107"/>
  <c r="N22" i="107"/>
  <c r="H22" i="107"/>
  <c r="L22" i="107"/>
  <c r="G22" i="107"/>
  <c r="P22" i="107"/>
  <c r="K22" i="107"/>
  <c r="F22" i="107"/>
  <c r="R22" i="107" s="1"/>
  <c r="S22" i="107" s="1"/>
  <c r="O22" i="107"/>
  <c r="J22" i="107"/>
  <c r="Q14" i="107"/>
  <c r="M14" i="107"/>
  <c r="I14" i="107"/>
  <c r="O14" i="107"/>
  <c r="J14" i="107"/>
  <c r="N14" i="107"/>
  <c r="H14" i="107"/>
  <c r="L14" i="107"/>
  <c r="G14" i="107"/>
  <c r="K14" i="107"/>
  <c r="F14" i="107"/>
  <c r="P14" i="107"/>
  <c r="K30" i="102"/>
  <c r="O12" i="102"/>
  <c r="J32" i="102"/>
  <c r="K17" i="102"/>
  <c r="K23" i="102"/>
  <c r="K25" i="102"/>
  <c r="K18" i="102"/>
  <c r="K15" i="102"/>
  <c r="K16" i="102"/>
  <c r="K19" i="102"/>
  <c r="K20" i="102"/>
  <c r="P16" i="107"/>
  <c r="L16" i="107"/>
  <c r="H16" i="107"/>
  <c r="M16" i="107"/>
  <c r="G16" i="107"/>
  <c r="Q16" i="107"/>
  <c r="K16" i="107"/>
  <c r="F16" i="107"/>
  <c r="O16" i="107"/>
  <c r="J16" i="107"/>
  <c r="I16" i="107"/>
  <c r="N16" i="107"/>
  <c r="E31" i="107"/>
  <c r="E32" i="107" s="1"/>
  <c r="O6" i="107"/>
  <c r="K6" i="107"/>
  <c r="G6" i="107"/>
  <c r="M6" i="107"/>
  <c r="H6" i="107"/>
  <c r="H11" i="107" s="1"/>
  <c r="H10" i="107" s="1"/>
  <c r="Q6" i="107"/>
  <c r="L6" i="107"/>
  <c r="F6" i="107"/>
  <c r="P6" i="107"/>
  <c r="J6" i="107"/>
  <c r="I6" i="107"/>
  <c r="N6" i="107"/>
  <c r="O26" i="107"/>
  <c r="K26" i="107"/>
  <c r="G26" i="107"/>
  <c r="N26" i="107"/>
  <c r="I26" i="107"/>
  <c r="M26" i="107"/>
  <c r="H26" i="107"/>
  <c r="Q26" i="107"/>
  <c r="L26" i="107"/>
  <c r="F26" i="107"/>
  <c r="J26" i="107"/>
  <c r="P26" i="107"/>
  <c r="N8" i="107"/>
  <c r="J8" i="107"/>
  <c r="F8" i="107"/>
  <c r="Q8" i="107"/>
  <c r="L8" i="107"/>
  <c r="G8" i="107"/>
  <c r="P8" i="107"/>
  <c r="K8" i="107"/>
  <c r="O8" i="107"/>
  <c r="I8" i="107"/>
  <c r="H8" i="107"/>
  <c r="M8" i="107"/>
  <c r="K28" i="102"/>
  <c r="R12" i="107"/>
  <c r="S12" i="107" s="1"/>
  <c r="K21" i="102"/>
  <c r="K24" i="102"/>
  <c r="M29" i="106" l="1"/>
  <c r="J11" i="107"/>
  <c r="J10" i="107" s="1"/>
  <c r="Q11" i="107"/>
  <c r="Q10" i="107" s="1"/>
  <c r="K11" i="107"/>
  <c r="K10" i="107" s="1"/>
  <c r="R28" i="107"/>
  <c r="S28" i="107" s="1"/>
  <c r="R8" i="107"/>
  <c r="S8" i="107" s="1"/>
  <c r="F11" i="107"/>
  <c r="R6" i="107"/>
  <c r="R16" i="107"/>
  <c r="S16" i="107" s="1"/>
  <c r="R14" i="107"/>
  <c r="S14" i="107" s="1"/>
  <c r="S20" i="107"/>
  <c r="P11" i="107"/>
  <c r="P10" i="107" s="1"/>
  <c r="O11" i="107"/>
  <c r="O10" i="107" s="1"/>
  <c r="N11" i="107"/>
  <c r="N10" i="107" s="1"/>
  <c r="M11" i="107"/>
  <c r="M10" i="107" s="1"/>
  <c r="R26" i="107"/>
  <c r="S26" i="107" s="1"/>
  <c r="I11" i="107"/>
  <c r="I10" i="107" s="1"/>
  <c r="L11" i="107"/>
  <c r="L10" i="107" s="1"/>
  <c r="G11" i="107"/>
  <c r="G10" i="107" s="1"/>
  <c r="M31" i="106"/>
  <c r="M18" i="106"/>
  <c r="M24" i="106"/>
  <c r="M26" i="106"/>
  <c r="M19" i="106"/>
  <c r="M20" i="106"/>
  <c r="M16" i="106"/>
  <c r="M17" i="106"/>
  <c r="M25" i="106"/>
  <c r="M27" i="106"/>
  <c r="M28" i="106"/>
  <c r="M21" i="106"/>
  <c r="R30" i="107" l="1"/>
  <c r="S6" i="107"/>
  <c r="R11" i="107"/>
  <c r="F10" i="107"/>
  <c r="R10" i="107" s="1"/>
  <c r="S10" i="107" s="1"/>
  <c r="R18" i="107" l="1"/>
  <c r="R31" i="107" s="1"/>
</calcChain>
</file>

<file path=xl/sharedStrings.xml><?xml version="1.0" encoding="utf-8"?>
<sst xmlns="http://schemas.openxmlformats.org/spreadsheetml/2006/main" count="900" uniqueCount="321">
  <si>
    <t>MINISTÉRIO DA INTEGRAÇÃO E DO DESENVOLVIMENTO REGIONAL - MIDR</t>
  </si>
  <si>
    <t>PLANILHA ORÇAMENTÁRIA DE EXECUÇÃO - GLOBAL</t>
  </si>
  <si>
    <t>COMPANHIA DE DESENVOLVIMENTO DOS VALES DO SÃO FRANCISCO E DO PARNAÍBA</t>
  </si>
  <si>
    <t>2ª SUPERINTENDÊNCIA REGIONAL - BOM JESUS DA LAPA/BA.</t>
  </si>
  <si>
    <t>GERÊNCIA DE INFRAESTRUTURA - 2ª/GRD</t>
  </si>
  <si>
    <t>OBJETO: EXECUÇÃO DE SERVIÇOS DE ESCAVAÇÃO EM SOLO DE 1ª CATEGORIA, OBJETIVANDO À IMPLANTAÇÃO DE RESERVATÓRIOS PARA ACÚMULO DE ÁGUA EM COMUNIDADES DE CARÁTER RURAL EM DIVERSOS MUNICÍPIOS DO ESTADO DA BAHIA, NA ÁREA DE ATUAÇÃO DA 2ª SR DA CODEVASF.</t>
  </si>
  <si>
    <t xml:space="preserve">MÊS DE REFERÊNCIA SINAPI-BA: JUNHO/2023; SICRO-BA: ABRIL/2023. </t>
  </si>
  <si>
    <t>BDI:</t>
  </si>
  <si>
    <t>PLANILHA ORÇAMENTÁRIA GLOBAL - SEM DESONERAÇÃO</t>
  </si>
  <si>
    <t>ITEM</t>
  </si>
  <si>
    <t>DISCRIMINAÇÃO DOS SERVIÇOS</t>
  </si>
  <si>
    <t>UND</t>
  </si>
  <si>
    <t>QUANTIDADE POR MÓDULO</t>
  </si>
  <si>
    <t>QUANTIDADE DE MÓDULOS</t>
  </si>
  <si>
    <t>QUANTIDADE</t>
  </si>
  <si>
    <t>CUSTO UNITÁRIO</t>
  </si>
  <si>
    <t>CUSTO TOTAL</t>
  </si>
  <si>
    <t>PREÇO UNITÁRIO</t>
  </si>
  <si>
    <t>PREÇO TOTAL (C/ BDI)</t>
  </si>
  <si>
    <t>%</t>
  </si>
  <si>
    <t>SERVIÇOS AUXILIARES</t>
  </si>
  <si>
    <t>1.1</t>
  </si>
  <si>
    <t>TRANSPORTE DE EQUIPAMENTOS EM RODOVIA COM REVESTIMENTO PRIMÁRIO - MOBILIZAÇÃO (70%)</t>
  </si>
  <si>
    <t>1.2</t>
  </si>
  <si>
    <t>TRANSPORTE DE EQUIPAMENTOS EM RODOVIA PAVIMENTADA - MOBILIZAÇÃO (30%)</t>
  </si>
  <si>
    <t>1.3</t>
  </si>
  <si>
    <t>1.4</t>
  </si>
  <si>
    <t>1.5</t>
  </si>
  <si>
    <t>TRANSPORTE DE EQUIPAMENTOS EM RODOVIA COM REVESTIMENTO PRIMÁRIO - DESMOBILIZAÇÃO (70%)</t>
  </si>
  <si>
    <t>1.6</t>
  </si>
  <si>
    <t>TRANSPORTE DE EQUIPAMENTOS EM RODOVIA PAVIMENTADA - DESMOBILIZAÇÃO (30%)</t>
  </si>
  <si>
    <t>TOTAL DO ITEM 1</t>
  </si>
  <si>
    <t>CONSTRUÇÃO DE BACIA DE CAPTAÇÃO E ARMAZENAMENTO DE ÁGUA EM ÁREA DE 500 M², COM CAPACIDADE MÍNIMA DE ARMAZENAMENTO DE 1.000 M³, TALUDE COMPACTADO, COM CRISTA DE NO MÍNIMO 2,50 M DE LARGURA</t>
  </si>
  <si>
    <t>2.1</t>
  </si>
  <si>
    <t>Limpeza mecanizada da camada vegetal com retroescavadeira de pneus com capacidade de 0,76 m³ - 58 Kw</t>
  </si>
  <si>
    <t>2.2</t>
  </si>
  <si>
    <t>Escavação, carga e transporte de material de 1ª categoria - DMT de 1.000 a 1.200 m - caminho de serviço em leito natural - com escavadeira e caminhão basculante de 14 m³</t>
  </si>
  <si>
    <t>2.3</t>
  </si>
  <si>
    <t>Espalhamento de material em bota-fora com retroescavadeira de pneus com capacidade de 0,76 m³ - 58 Kw</t>
  </si>
  <si>
    <t>2.4</t>
  </si>
  <si>
    <t>Escavação mecânica com retroescavadeira em material de 1ª categoria</t>
  </si>
  <si>
    <t>2.5</t>
  </si>
  <si>
    <t>Compactação manual com soquete vibratório</t>
  </si>
  <si>
    <t>TOTAL DO ITEM 2</t>
  </si>
  <si>
    <t>TOTAL GERAL DOS SERVIÇOS A SEREM CONTRATADOS:</t>
  </si>
  <si>
    <t>PLANILHA ORÇAMENTÁRIA PARA MÓDULO MÍNIMO</t>
  </si>
  <si>
    <t>PLANILHA MÓDULO MINIMO PARA RESERVATÓRIO DE 1.000 M³ - SEM DESONERAÇÃO</t>
  </si>
  <si>
    <t>BACIA DE CAPTAÇÃO E ARMAZENAMENTO DE ÁGUA EM ÁREA DE 500 M², COM CAPACIDADE MÍNIMA DE ARMAZENAMENTO DE 1.000 M³, TALUDE COMPACTADO, COM CRISTA DE NO MÍNIMO 2,50 M DE LARGURA</t>
  </si>
  <si>
    <t>TOTAL GERAL (R$)</t>
  </si>
  <si>
    <t xml:space="preserve">CUSTO UNITÁRIO POR m³ </t>
  </si>
  <si>
    <t>MINISTÉRIO DA INTEGRAÇÃO E DO DESENVOLVIMENTO REGIONAL</t>
  </si>
  <si>
    <t>2ª SUPERINTENDÊNCIA REGIONAL - GERÊNCIA REGIONAL DE INFRAESTRUTURA</t>
  </si>
  <si>
    <t>CGCIT</t>
  </si>
  <si>
    <t>DNIT</t>
  </si>
  <si>
    <t>SISTEMA DE CUSTOS REFERENCIAIS DE OBRAS - SICRO</t>
  </si>
  <si>
    <t>Bahia</t>
  </si>
  <si>
    <t>FIC</t>
  </si>
  <si>
    <t>Custo Unitário de Referência</t>
  </si>
  <si>
    <t>Abril de 2023</t>
  </si>
  <si>
    <t xml:space="preserve">Produção da equipe </t>
  </si>
  <si>
    <t>m³</t>
  </si>
  <si>
    <t>SICRO 5501706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</si>
  <si>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</si>
  <si>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</si>
  <si>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</si>
  <si>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</si>
  <si>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</si>
  <si>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</si>
  <si>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</si>
  <si>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</si>
  <si>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</si>
  <si>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</si>
  <si>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</si>
  <si>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Custo horário total de equipamentos</t>
  </si>
  <si>
    <t>B - MÃO DE OBRA</t>
  </si>
  <si>
    <t>Unidade</t>
  </si>
  <si>
    <t>Custo Horário Total</t>
  </si>
  <si>
    <t>h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</si>
  <si>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</si>
  <si>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</si>
  <si>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</si>
  <si>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</si>
  <si>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</si>
  <si>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-</t>
  </si>
  <si>
    <t>C - MATERIAL</t>
  </si>
  <si>
    <t>Preço Unitário</t>
  </si>
  <si>
    <t>Custo Unitário</t>
  </si>
  <si>
    <t>Custo unitário total de material</t>
  </si>
  <si>
    <t>D - ATIVIDADES AUXILIARES</t>
  </si>
  <si>
    <t>Custo total de atividades auxiliares</t>
  </si>
  <si>
    <t>Subtotal</t>
  </si>
  <si>
    <t>E - TEMPO FIXO</t>
  </si>
  <si>
    <t>Código</t>
  </si>
  <si>
    <t>Custo unitário total de tempo fixo</t>
  </si>
  <si>
    <t>F - MOMENTO DE TRANSPORTE</t>
  </si>
  <si>
    <t>DMT</t>
  </si>
  <si>
    <t>LN</t>
  </si>
  <si>
    <t>RP</t>
  </si>
  <si>
    <t>P</t>
  </si>
  <si>
    <t>Custo unitário total de transporte</t>
  </si>
  <si>
    <t>Custo unitário direto total</t>
  </si>
  <si>
    <t>SICRO 4805754</t>
  </si>
  <si>
    <t>SICRO 5502114</t>
  </si>
  <si>
    <t>m²</t>
  </si>
  <si>
    <t>CODEVASF (adaptado de SICRO 5502985)</t>
  </si>
  <si>
    <r>
      <rPr>
        <b/>
        <sz val="9"/>
        <color rgb="FF000000"/>
        <rFont val="Arial"/>
        <charset val="134"/>
      </rPr>
      <t>Obs.:</t>
    </r>
    <r>
      <rPr>
        <sz val="9"/>
        <color rgb="FF000000"/>
        <rFont val="Arial"/>
        <charset val="134"/>
      </rPr>
      <t xml:space="preserve"> considerou-se o rendimento da retroescavadeira de 58 kw correspondente a 65% do rendimento do trator sobre esteiras com lâmina de 127 kw.</t>
    </r>
  </si>
  <si>
    <t>CODEVASF (adaptado de SICRO 4413942)</t>
  </si>
  <si>
    <t>tkm</t>
  </si>
  <si>
    <t>SICRO 5914639</t>
  </si>
  <si>
    <t>Transporte com cavalo mecânico com semirreboque com capacidade de 30 t - rodovia em revestimento primário</t>
  </si>
  <si>
    <t>SICRO 5914640</t>
  </si>
  <si>
    <t>Transporte com cavalo mecânico com semirreboque com capacidade de 30 t - rodovia pavimentada</t>
  </si>
  <si>
    <t>PLANILHA COMPOSIÇÕES DE PREÇOS - ADMINISTRAÇÃO LOCAL E PLACA DE OBRAS</t>
  </si>
  <si>
    <t>OBJETO: EXECUÇÃO DE SERVIÇOS DE ESCAVAÇÃO EM SOLO DE 1ª CATEGORIA, OBJETIVANDO À IMPLANTAÇÃO DE RESERVATÓRIOS PARA ACÚMULO DE ÁGUA EM COMUNIDADES RURAIS DIFUSAS DE DIVERSOS MUNICÍPIOS DO ESTADO DA BAHIA, NA ÁREA DE ATUAÇÃO DA 2ª SR DA CODEVASF.</t>
  </si>
  <si>
    <t>ENCARGOS SOCIAIS HORISTAS (%):</t>
  </si>
  <si>
    <t>BASE:</t>
  </si>
  <si>
    <t>NÃO DESONERADO</t>
  </si>
  <si>
    <t>CPU-01</t>
  </si>
  <si>
    <t>CODEVASF</t>
  </si>
  <si>
    <t>SEM</t>
  </si>
  <si>
    <t>ADMINISTRAÇÃO LOCAL</t>
  </si>
  <si>
    <t>QUANTITATIVO</t>
  </si>
  <si>
    <t>PRECO UNITÁRIO</t>
  </si>
  <si>
    <t>TOTAL (R$)</t>
  </si>
  <si>
    <t>COMPOSICAO</t>
  </si>
  <si>
    <t>SINAPI</t>
  </si>
  <si>
    <t>CUSTO total:</t>
  </si>
  <si>
    <t>CPU-02</t>
  </si>
  <si>
    <t>PLACA DE OBRA EM CHAPA DE AÇO GALVANIZADO</t>
  </si>
  <si>
    <t>M²</t>
  </si>
  <si>
    <t>INSUMO</t>
  </si>
  <si>
    <t>COMPOSIÇÃO</t>
  </si>
  <si>
    <t>ESPECIFICAÇÃO DO ITEM DA COMPOSIÇÃO - SICRO (NÃO DESONERADO)</t>
  </si>
  <si>
    <t>SICRO/SINAPI</t>
  </si>
  <si>
    <t>MÊS DE REFERÊNCIA</t>
  </si>
  <si>
    <t>CÓDIGO</t>
  </si>
  <si>
    <t>UNIDADE</t>
  </si>
  <si>
    <t>VALOR UNITÁRIO PRODUTIVO</t>
  </si>
  <si>
    <t>VALOR UNITÁRIO IMPRODUTIVO</t>
  </si>
  <si>
    <t>Caminhão basculante com capacidade de 14 m³ - 188 Kw</t>
  </si>
  <si>
    <t>SICRO BAHIA</t>
  </si>
  <si>
    <t>E9667</t>
  </si>
  <si>
    <t>H</t>
  </si>
  <si>
    <t>Cavalo mecânico com semirreboque com capacidade de 30 t - 265 kW</t>
  </si>
  <si>
    <t>E9666</t>
  </si>
  <si>
    <t>Compactador manual com soquete vibratório - 4,10 Kw</t>
  </si>
  <si>
    <t>E9647</t>
  </si>
  <si>
    <t>Escavadeira hidráulica sobre esteiras com caçamba com capacidade de 1,56 m³ - 118 Kw</t>
  </si>
  <si>
    <t>E9515</t>
  </si>
  <si>
    <t>M³</t>
  </si>
  <si>
    <t>Retroescavadeira de pneus com capacidade de 0,76 m³ - 58 Kw</t>
  </si>
  <si>
    <t>E9526</t>
  </si>
  <si>
    <t>Servente</t>
  </si>
  <si>
    <t>P9824</t>
  </si>
  <si>
    <t>ESPECIFICAÇÃO DO ITEM DA COMPOSIÇÃO - SINAPI (NÃO DESONERADO)</t>
  </si>
  <si>
    <t>VALOR UNITÁRIO</t>
  </si>
  <si>
    <t>AREIA MEDIA - POSTO JAZIDA/FORNECEDOR (RETIRADO NA JAZIDA, SEM TRANSPORTE)</t>
  </si>
  <si>
    <t>BETONEIRA CAPACIDADE NOMINAL 400 L, CAPACIDADE DE MISTURA 310 L, MOTOR A DIESEL POTÊNCIA 5,0 HP, SEM CARREGADOR - CHP DIURNO. AF_06/2014</t>
  </si>
  <si>
    <t>CARPINTEIRO DE FORMAS COM ENCARGOS COMPLEMENTARES</t>
  </si>
  <si>
    <t xml:space="preserve">CIMENTO PORTLAND COMPOSTO CP II-32 </t>
  </si>
  <si>
    <t>KG</t>
  </si>
  <si>
    <t>ENCARREGADO GERAL COM ENCARGOS COMPLEMENTARES</t>
  </si>
  <si>
    <t>ENGENHEIRO CIVIL DE OBRA JUNIOR COM ENCARGOS COMPLEMENTARES</t>
  </si>
  <si>
    <t>PEDRA BRITADA N. 2 (19 A 38 MM) POSTO PEDREIRA/FORNECEDOR, SEM FRETE</t>
  </si>
  <si>
    <t>PLACA DE OBRA (PARA CONSTRUCAO CIVIL) EM CHAPA GALVANIZADA *N. 22*, ADESIVADA, DE *2,4 X 1,2* M (SEM POSTES PARA FIXACAO)</t>
  </si>
  <si>
    <t>PONTALETE *7,5 X 7,5* CM EM PINUS, MISTA OU EQUIVALENTE DA REGIAO - BRUTA</t>
  </si>
  <si>
    <t>M</t>
  </si>
  <si>
    <t>PREGO DE ACO POLIDO COM CABECA 18 X 30 (2 3/4 X 10)</t>
  </si>
  <si>
    <t>SARRAFO NAO APARELHADO *2,5 X 7* CM, EM MACARANDUBA, ANGELIM OU EQUIVALENTE DA REGIAO - BRUTA</t>
  </si>
  <si>
    <t>SERVENTE COM ENCARGOS COMPLEMENTARES</t>
  </si>
  <si>
    <t xml:space="preserve">                        MINISTÉRIO DA INTEGRAÇÃO E DO DESENVOLVIMENTO REGIONAL - M. I. D. R.</t>
  </si>
  <si>
    <t xml:space="preserve">              COMPANHIA DE DESENVOLVIMENTO DOS VALES DO SÃO FRANCISCO E DO PARNAÍBA</t>
  </si>
  <si>
    <t xml:space="preserve">  2ª SUPERINTENDÊNCIA REGIONAL - SEDIADA EM BOM JESUS DA LAPA/BA.</t>
  </si>
  <si>
    <t>GERÊNCIA DE INFRAESTRUTURA -  2ª/GRD</t>
  </si>
  <si>
    <t>MEMÓRIA DE CÁLCULO DOS MOMENTOS DE TRANSPORTE PARA MOBILIZAÇÃO E DESMOBILIZAÇÃO</t>
  </si>
  <si>
    <t>Cidade de Origem:</t>
  </si>
  <si>
    <t>Cidade Pólo</t>
  </si>
  <si>
    <t>Destino:</t>
  </si>
  <si>
    <t>Local da Execução</t>
  </si>
  <si>
    <t>Dist.  a Origem :</t>
  </si>
  <si>
    <t xml:space="preserve"> km</t>
  </si>
  <si>
    <t>Quant. de Municípios:</t>
  </si>
  <si>
    <t>Distância Total:</t>
  </si>
  <si>
    <t>Peso das máquinas:</t>
  </si>
  <si>
    <t>Escavadeira hidráulica - 118 kw</t>
  </si>
  <si>
    <t>ton</t>
  </si>
  <si>
    <t>Retroescavadeira de pneus - 58 kW</t>
  </si>
  <si>
    <t>Total</t>
  </si>
  <si>
    <t xml:space="preserve"> ton</t>
  </si>
  <si>
    <t xml:space="preserve"> t x km</t>
  </si>
  <si>
    <t>PLANILHA DE DETALHAMENTO DO BDI</t>
  </si>
  <si>
    <t>OBJETO:</t>
  </si>
  <si>
    <t>EXECUÇÃO DE SERVIÇOS DE ESCAVAÇÃO EM SOLO DE 1ª CATEGORIA, OBJETIVANDO À IMPLANTAÇÃO DE RESERVATÓRIOS PARA ACÚMULO DE ÁGUA EM COMUNIDADES DE CARÁTER RURAL EM DIVERSOS MUNICÍPIOS DO ESTADO DA BAHIA, NA ÁREA DE ATUAÇÃO DA 2ª SR DA CODEVASF.</t>
  </si>
  <si>
    <t>MEMÓRIA DE CALCULO DO BDI  DOS SERVIÇOS - NÃO DESONERADO</t>
  </si>
  <si>
    <t>Obras rodoviárias</t>
  </si>
  <si>
    <t>BDI APLICADO NA OBRA (SEM RISCO, SEGURO E GARANTIA)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</si>
  <si>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</si>
  <si>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</si>
  <si>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</si>
  <si>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</si>
  <si>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</si>
  <si>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</si>
  <si>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</si>
  <si>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</si>
  <si>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</si>
  <si>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</si>
  <si>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</si>
  <si>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</si>
  <si>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</si>
  <si>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</si>
  <si>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</si>
  <si>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</si>
  <si>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</si>
  <si>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</si>
  <si>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</si>
  <si>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</si>
  <si>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</si>
  <si>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</si>
  <si>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</si>
  <si>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</si>
  <si>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</si>
  <si>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</si>
  <si>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</si>
  <si>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</si>
  <si>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</si>
  <si>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</si>
  <si>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</si>
  <si>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</si>
  <si>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</si>
  <si>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</si>
  <si>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</si>
  <si>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</si>
  <si>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</si>
  <si>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</si>
  <si>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</si>
  <si>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</si>
  <si>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DETALHAMENTO DE ENCARGOS SOCIAIS - HORISTAS E MENSALISTAS (SEM DESONERAÇÃO)</t>
  </si>
  <si>
    <t>DISCRIMINAÇÃO</t>
  </si>
  <si>
    <t>HORISTA</t>
  </si>
  <si>
    <t>MENSALISTA</t>
  </si>
  <si>
    <t>A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</si>
  <si>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</si>
  <si>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</si>
  <si>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</si>
  <si>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</si>
  <si>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</si>
  <si>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</si>
  <si>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</si>
  <si>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</si>
  <si>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</si>
  <si>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</si>
  <si>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 de Trabalho</t>
  </si>
  <si>
    <t>A8</t>
  </si>
  <si>
    <t>FGTS</t>
  </si>
  <si>
    <t>A9</t>
  </si>
  <si>
    <t>SECONCI</t>
  </si>
  <si>
    <t>SUBTOTAL DE “A”:</t>
  </si>
  <si>
    <t>B</t>
  </si>
  <si>
    <t>ENCARGOS SOCIAIS QUE RECEBEM INCIDÊNCIA DE “A”</t>
  </si>
  <si>
    <t>B1</t>
  </si>
  <si>
    <t>Repouso Semanal Remunerado</t>
  </si>
  <si>
    <t>Não incide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</si>
  <si>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</si>
  <si>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</si>
  <si>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</si>
  <si>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</si>
  <si>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</si>
  <si>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</si>
  <si>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</si>
  <si>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</si>
  <si>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</si>
  <si>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</si>
  <si>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</si>
  <si>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</si>
  <si>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</si>
  <si>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</si>
  <si>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</si>
  <si>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</si>
  <si>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</si>
  <si>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</si>
  <si>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SUBTOTAL DE “B”:</t>
  </si>
  <si>
    <t>C</t>
  </si>
  <si>
    <t>ENCARGOS SOCIAIS QUE NÃO RECEBEM INCIDÊNCIA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</si>
  <si>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</si>
  <si>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</si>
  <si>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</si>
  <si>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</si>
  <si>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</si>
  <si>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</si>
  <si>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</si>
  <si>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</si>
  <si>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</si>
  <si>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</si>
  <si>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“C”:</t>
  </si>
  <si>
    <t>D</t>
  </si>
  <si>
    <t>REINCIDÊNCIAS DE UM GRUPO SOBRE O OUTRO</t>
  </si>
  <si>
    <t>D1</t>
  </si>
  <si>
    <t>Reincidência de “A” sobre “B”</t>
  </si>
  <si>
    <t>D2</t>
  </si>
  <si>
    <t>Reincidência de Grupo A sobre Aviso Prévio Trabalhado e Reincidência do FGTS sobre Aviso Prévio Indenizado</t>
  </si>
  <si>
    <t>SUBTOTAL DE “D”:</t>
  </si>
  <si>
    <t>TOTAIS DE ENCARGOS SOCIAIS (%):</t>
  </si>
  <si>
    <t>CRONOGRAMA DE EXECUÇÃO FÍSICO-FINANCEIRA</t>
  </si>
  <si>
    <t>VALOR TOTAL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</si>
  <si>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</si>
  <si>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</si>
  <si>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</si>
  <si>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</si>
  <si>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</si>
  <si>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</si>
  <si>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</si>
  <si>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</si>
  <si>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</si>
  <si>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</si>
  <si>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</si>
  <si>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</si>
  <si>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</t>
  </si>
  <si>
    <t>SUBTOTAL</t>
  </si>
  <si>
    <t>TOTAL GERAL</t>
  </si>
  <si>
    <t>TOTAL - ADMINISTRAÇÃO LOCAL</t>
  </si>
  <si>
    <t>ENCARGOS SOCIAIS (HORISTA):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</si>
</sst>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\-??_);_(@_)"/>
    <numFmt numFmtId="166" formatCode="_(* #,##0.00_);_(* \(#,##0.00\);_(* &quot;-&quot;??_);_(@_)"/>
    <numFmt numFmtId="167" formatCode="_-* #,##0.00_-;\-* #,##0.00_-;_-* \-??_-;_-@_-"/>
    <numFmt numFmtId="168" formatCode="0.0000000"/>
    <numFmt numFmtId="169" formatCode="_-&quot;R$&quot;\ * #,##0.0000_-;\-&quot;R$&quot;\ * #,##0.0000_-;_-&quot;R$&quot;\ * &quot;-&quot;??_-;_-@_-"/>
    <numFmt numFmtId="170" formatCode="0.0000"/>
    <numFmt numFmtId="171" formatCode="#,##0.0000"/>
    <numFmt numFmtId="172" formatCode="#,##0.00000"/>
    <numFmt numFmtId="173" formatCode="&quot;R$&quot;\ #,##0.00_);[Red]\(&quot;R$&quot;\ #,###.00\)"/>
    <numFmt numFmtId="174" formatCode="0.000000000"/>
    <numFmt numFmtId="175" formatCode="0.00_);[Red]\(0.00\)"/>
  </numFmts>
  <fonts count="61">
    <font>
      <sz val="10"/>
      <name val="Arial"/>
      <charset val="134"/>
    </font>
    <font>
      <sz val="10"/>
      <color rgb="FFFF0000"/>
      <name val="Arial"/>
      <charset val="134"/>
    </font>
    <font>
      <sz val="8"/>
      <name val="Arial"/>
      <charset val="134"/>
    </font>
    <font>
      <b/>
      <sz val="16"/>
      <color rgb="FF006600"/>
      <name val="Arial"/>
      <charset val="134"/>
    </font>
    <font>
      <b/>
      <sz val="12"/>
      <name val="Arial"/>
      <charset val="134"/>
    </font>
    <font>
      <b/>
      <sz val="12"/>
      <color rgb="FFFFFF00"/>
      <name val="Arial"/>
      <charset val="134"/>
    </font>
    <font>
      <b/>
      <sz val="10"/>
      <color rgb="FFFFFF00"/>
      <name val="Arial"/>
      <charset val="134"/>
    </font>
    <font>
      <sz val="8"/>
      <color rgb="FFFFFF00"/>
      <name val="Arial"/>
      <charset val="134"/>
    </font>
    <font>
      <b/>
      <sz val="10"/>
      <name val="Arial"/>
      <charset val="134"/>
    </font>
    <font>
      <b/>
      <sz val="8"/>
      <name val="Arial"/>
      <charset val="134"/>
    </font>
    <font>
      <sz val="12"/>
      <name val="Arial"/>
      <charset val="134"/>
    </font>
    <font>
      <b/>
      <sz val="12"/>
      <color rgb="FF006600"/>
      <name val="Arial"/>
      <charset val="134"/>
    </font>
    <font>
      <b/>
      <sz val="9"/>
      <name val="Arial"/>
      <charset val="134"/>
    </font>
    <font>
      <b/>
      <sz val="8"/>
      <color rgb="FF006600"/>
      <name val="Arial"/>
      <charset val="134"/>
    </font>
    <font>
      <b/>
      <sz val="11"/>
      <color rgb="FFFFFF00"/>
      <name val="Arial"/>
      <charset val="134"/>
    </font>
    <font>
      <sz val="11"/>
      <name val="Arial"/>
      <charset val="134"/>
    </font>
    <font>
      <b/>
      <sz val="16"/>
      <color rgb="FFFFFF00"/>
      <name val="Arial"/>
      <charset val="134"/>
    </font>
    <font>
      <b/>
      <sz val="16"/>
      <name val="Arial"/>
      <charset val="134"/>
    </font>
    <font>
      <b/>
      <sz val="10"/>
      <color rgb="FF006600"/>
      <name val="Arial"/>
      <charset val="134"/>
    </font>
    <font>
      <b/>
      <sz val="14"/>
      <color rgb="FFFFFF00"/>
      <name val="Arial"/>
      <charset val="134"/>
    </font>
    <font>
      <b/>
      <sz val="11"/>
      <color theme="0"/>
      <name val="Arial"/>
      <charset val="134"/>
    </font>
    <font>
      <sz val="11"/>
      <color theme="1"/>
      <name val="Arial"/>
      <charset val="134"/>
    </font>
    <font>
      <b/>
      <sz val="9"/>
      <color rgb="FFFFFF00"/>
      <name val="Arial"/>
      <charset val="134"/>
    </font>
    <font>
      <b/>
      <sz val="8"/>
      <color theme="1"/>
      <name val="Arial"/>
      <charset val="134"/>
    </font>
    <font>
      <b/>
      <strike/>
      <sz val="10"/>
      <name val="Arial"/>
      <charset val="134"/>
    </font>
    <font>
      <b/>
      <sz val="12"/>
      <color indexed="8"/>
      <name val="Arial Narrow"/>
      <charset val="134"/>
    </font>
    <font>
      <b/>
      <sz val="18"/>
      <name val="Arial"/>
      <charset val="134"/>
    </font>
    <font>
      <sz val="9"/>
      <color rgb="FFFFFF00"/>
      <name val="Verdana"/>
      <charset val="134"/>
    </font>
    <font>
      <b/>
      <sz val="9"/>
      <name val="Verdana"/>
      <charset val="134"/>
    </font>
    <font>
      <sz val="8"/>
      <name val="Verdana"/>
      <charset val="134"/>
    </font>
    <font>
      <sz val="9"/>
      <name val="Verdana"/>
      <charset val="134"/>
    </font>
    <font>
      <sz val="9"/>
      <color rgb="FFFF0000"/>
      <name val="Verdana"/>
      <charset val="134"/>
    </font>
    <font>
      <b/>
      <sz val="9"/>
      <color rgb="FFFF0000"/>
      <name val="Verdana"/>
      <charset val="134"/>
    </font>
    <font>
      <b/>
      <sz val="11"/>
      <color rgb="FF006600"/>
      <name val="Arial"/>
      <charset val="134"/>
    </font>
    <font>
      <b/>
      <sz val="11"/>
      <name val="Arial"/>
      <charset val="134"/>
    </font>
    <font>
      <b/>
      <sz val="8"/>
      <color indexed="8"/>
      <name val="Arial"/>
      <charset val="134"/>
    </font>
    <font>
      <sz val="8"/>
      <color indexed="8"/>
      <name val="Arial"/>
      <charset val="134"/>
    </font>
    <font>
      <i/>
      <sz val="14"/>
      <color rgb="FF003770"/>
      <name val="Arial Black"/>
      <charset val="134"/>
    </font>
    <font>
      <sz val="11"/>
      <color rgb="FF000000"/>
      <name val="Arial"/>
      <charset val="134"/>
    </font>
    <font>
      <b/>
      <sz val="14"/>
      <color rgb="FF000000"/>
      <name val="Arial"/>
      <charset val="134"/>
    </font>
    <font>
      <b/>
      <sz val="12"/>
      <color rgb="FF000000"/>
      <name val="Arial"/>
      <charset val="134"/>
    </font>
    <font>
      <b/>
      <i/>
      <sz val="12"/>
      <color rgb="FF000000"/>
      <name val="Arial"/>
      <charset val="134"/>
    </font>
    <font>
      <b/>
      <sz val="11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indexed="8"/>
      <name val="Arial Narrow"/>
      <charset val="134"/>
    </font>
    <font>
      <b/>
      <sz val="14"/>
      <name val="Arial"/>
      <charset val="134"/>
    </font>
    <font>
      <sz val="10"/>
      <name val="MonoMM1_ZeroNormal"/>
      <charset val="134"/>
    </font>
    <font>
      <sz val="10"/>
      <color rgb="FFFFFF00"/>
      <name val="Arial"/>
      <charset val="134"/>
    </font>
    <font>
      <b/>
      <sz val="14"/>
      <color indexed="8"/>
      <name val="Arial Narrow"/>
      <charset val="134"/>
    </font>
    <font>
      <b/>
      <sz val="11"/>
      <name val="MonoMM1_ZeroNormal"/>
      <charset val="134"/>
    </font>
    <font>
      <b/>
      <sz val="12"/>
      <name val="MonoMM1_ZeroNormal"/>
      <charset val="134"/>
    </font>
    <font>
      <b/>
      <sz val="14"/>
      <color rgb="FF006600"/>
      <name val="Arial"/>
      <charset val="134"/>
    </font>
    <font>
      <b/>
      <sz val="16"/>
      <color indexed="8"/>
      <name val="Arial Narrow"/>
      <charset val="134"/>
    </font>
    <font>
      <sz val="10"/>
      <color theme="1"/>
      <name val="Calibri"/>
      <charset val="134"/>
      <scheme val="minor"/>
    </font>
    <font>
      <sz val="11"/>
      <color indexed="8"/>
      <name val="Calibri"/>
      <charset val="134"/>
    </font>
    <font>
      <sz val="10"/>
      <name val="Arial"/>
      <charset val="1"/>
    </font>
    <font>
      <sz val="11"/>
      <color theme="1"/>
      <name val="Calibri"/>
      <charset val="134"/>
      <scheme val="minor"/>
    </font>
    <font>
      <sz val="11"/>
      <color rgb="FF000000"/>
      <name val="Calibri"/>
      <charset val="1"/>
    </font>
    <font>
      <sz val="11"/>
      <color rgb="FF000000"/>
      <name val="Calibri"/>
      <charset val="134"/>
    </font>
    <font>
      <b/>
      <sz val="9"/>
      <color rgb="FF000000"/>
      <name val="Arial"/>
      <charset val="134"/>
    </font>
    <font>
      <sz val="10"/>
      <name val="Arial"/>
      <charset val="134"/>
    </font>
  </fonts>
  <fills count="1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FFFFCC"/>
        <bgColor indexed="8"/>
      </patternFill>
    </fill>
    <fill>
      <patternFill patternType="solid">
        <fgColor theme="5" tint="0.399914548173467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3743705557422"/>
        <bgColor indexed="64"/>
      </patternFill>
    </fill>
  </fills>
  <borders count="7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23">
    <xf numFmtId="0" fontId="0" fillId="0" borderId="0"/>
    <xf numFmtId="43" fontId="53" fillId="0" borderId="0" applyFont="0" applyFill="0" applyBorder="0" applyAlignment="0" applyProtection="0">
      <alignment vertical="center"/>
    </xf>
    <xf numFmtId="44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0" fontId="54" fillId="0" borderId="0"/>
    <xf numFmtId="16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0" fontId="60" fillId="0" borderId="0"/>
    <xf numFmtId="0" fontId="60" fillId="0" borderId="0"/>
    <xf numFmtId="0" fontId="55" fillId="0" borderId="0"/>
    <xf numFmtId="0" fontId="56" fillId="0" borderId="0"/>
    <xf numFmtId="0" fontId="60" fillId="0" borderId="0"/>
    <xf numFmtId="0" fontId="15" fillId="0" borderId="0"/>
    <xf numFmtId="0" fontId="57" fillId="0" borderId="0"/>
    <xf numFmtId="0" fontId="56" fillId="0" borderId="0"/>
    <xf numFmtId="0" fontId="58" fillId="0" borderId="0"/>
    <xf numFmtId="165" fontId="60" fillId="0" borderId="0" applyFill="0" applyBorder="0" applyAlignment="0" applyProtection="0"/>
    <xf numFmtId="166" fontId="60" fillId="0" borderId="0" applyFont="0" applyFill="0" applyBorder="0" applyAlignment="0" applyProtection="0"/>
    <xf numFmtId="166" fontId="60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60" fillId="0" borderId="0" applyFont="0" applyFill="0" applyBorder="0" applyAlignment="0" applyProtection="0"/>
    <xf numFmtId="167" fontId="57" fillId="0" borderId="0" applyBorder="0" applyProtection="0"/>
    <xf numFmtId="43" fontId="56" fillId="0" borderId="0" applyFont="0" applyFill="0" applyBorder="0" applyAlignment="0" applyProtection="0"/>
  </cellStyleXfs>
  <cellXfs count="586">
    <xf numFmtId="0" fontId="0" fillId="0" borderId="0" xfId="0"/>
    <xf numFmtId="0" fontId="0" fillId="0" borderId="0" xfId="7" applyFont="1" applyAlignment="1">
      <alignment vertical="center"/>
    </xf>
    <xf numFmtId="0" fontId="1" fillId="0" borderId="0" xfId="7" applyFont="1" applyAlignment="1">
      <alignment vertical="center"/>
    </xf>
    <xf numFmtId="0" fontId="60" fillId="0" borderId="0" xfId="7" applyAlignment="1">
      <alignment vertical="center"/>
    </xf>
    <xf numFmtId="0" fontId="60" fillId="0" borderId="0" xfId="7" applyAlignment="1">
      <alignment horizontal="center" vertical="center"/>
    </xf>
    <xf numFmtId="0" fontId="2" fillId="0" borderId="0" xfId="7" applyFont="1" applyAlignment="1">
      <alignment horizontal="center" vertical="center"/>
    </xf>
    <xf numFmtId="0" fontId="4" fillId="0" borderId="0" xfId="7" applyFont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/>
    </xf>
    <xf numFmtId="0" fontId="6" fillId="3" borderId="5" xfId="7" applyFont="1" applyFill="1" applyBorder="1" applyAlignment="1">
      <alignment horizontal="center" vertical="center" wrapText="1"/>
    </xf>
    <xf numFmtId="0" fontId="7" fillId="3" borderId="5" xfId="7" applyFont="1" applyFill="1" applyBorder="1" applyAlignment="1">
      <alignment horizontal="center" vertical="center"/>
    </xf>
    <xf numFmtId="168" fontId="7" fillId="3" borderId="5" xfId="7" applyNumberFormat="1" applyFont="1" applyFill="1" applyBorder="1" applyAlignment="1">
      <alignment horizontal="center" vertical="center"/>
    </xf>
    <xf numFmtId="44" fontId="8" fillId="2" borderId="8" xfId="7" applyNumberFormat="1" applyFont="1" applyFill="1" applyBorder="1" applyAlignment="1">
      <alignment horizontal="center" vertical="center" wrapText="1"/>
    </xf>
    <xf numFmtId="44" fontId="2" fillId="2" borderId="8" xfId="2" applyFont="1" applyFill="1" applyBorder="1" applyAlignment="1">
      <alignment horizontal="center" vertical="center"/>
    </xf>
    <xf numFmtId="0" fontId="8" fillId="2" borderId="8" xfId="7" applyFont="1" applyFill="1" applyBorder="1" applyAlignment="1">
      <alignment horizontal="center" vertical="center" wrapText="1"/>
    </xf>
    <xf numFmtId="10" fontId="2" fillId="2" borderId="8" xfId="3" applyNumberFormat="1" applyFont="1" applyFill="1" applyBorder="1" applyAlignment="1">
      <alignment horizontal="center" vertical="center"/>
    </xf>
    <xf numFmtId="44" fontId="8" fillId="4" borderId="8" xfId="7" applyNumberFormat="1" applyFont="1" applyFill="1" applyBorder="1" applyAlignment="1">
      <alignment horizontal="center" vertical="center" wrapText="1"/>
    </xf>
    <xf numFmtId="44" fontId="2" fillId="4" borderId="8" xfId="2" applyFont="1" applyFill="1" applyBorder="1" applyAlignment="1">
      <alignment horizontal="center" vertical="center"/>
    </xf>
    <xf numFmtId="0" fontId="8" fillId="4" borderId="8" xfId="7" applyFont="1" applyFill="1" applyBorder="1" applyAlignment="1">
      <alignment horizontal="center" vertical="center" wrapText="1"/>
    </xf>
    <xf numFmtId="10" fontId="2" fillId="4" borderId="8" xfId="3" applyNumberFormat="1" applyFont="1" applyFill="1" applyBorder="1" applyAlignment="1">
      <alignment horizontal="center" vertical="center"/>
    </xf>
    <xf numFmtId="0" fontId="8" fillId="4" borderId="13" xfId="7" applyFont="1" applyFill="1" applyBorder="1" applyAlignment="1">
      <alignment horizontal="center" vertical="center" wrapText="1"/>
    </xf>
    <xf numFmtId="10" fontId="2" fillId="4" borderId="13" xfId="3" applyNumberFormat="1" applyFont="1" applyFill="1" applyBorder="1" applyAlignment="1">
      <alignment horizontal="center" vertical="center"/>
    </xf>
    <xf numFmtId="0" fontId="10" fillId="0" borderId="0" xfId="7" applyFont="1" applyAlignment="1">
      <alignment horizontal="center" vertical="center"/>
    </xf>
    <xf numFmtId="43" fontId="10" fillId="0" borderId="0" xfId="20" applyFont="1" applyAlignment="1">
      <alignment horizontal="center" vertical="center"/>
    </xf>
    <xf numFmtId="0" fontId="8" fillId="2" borderId="13" xfId="7" applyFont="1" applyFill="1" applyBorder="1" applyAlignment="1">
      <alignment horizontal="center" vertical="center" wrapText="1"/>
    </xf>
    <xf numFmtId="10" fontId="2" fillId="2" borderId="13" xfId="3" applyNumberFormat="1" applyFont="1" applyFill="1" applyBorder="1" applyAlignment="1">
      <alignment horizontal="center" vertical="center"/>
    </xf>
    <xf numFmtId="0" fontId="0" fillId="0" borderId="0" xfId="7" applyFont="1" applyAlignment="1">
      <alignment horizontal="center" vertical="center"/>
    </xf>
    <xf numFmtId="0" fontId="5" fillId="3" borderId="16" xfId="7" applyFont="1" applyFill="1" applyBorder="1" applyAlignment="1">
      <alignment horizontal="right" vertical="center"/>
    </xf>
    <xf numFmtId="44" fontId="11" fillId="2" borderId="16" xfId="7" applyNumberFormat="1" applyFont="1" applyFill="1" applyBorder="1" applyAlignment="1">
      <alignment horizontal="center" vertical="center"/>
    </xf>
    <xf numFmtId="0" fontId="4" fillId="0" borderId="16" xfId="7" applyFont="1" applyBorder="1" applyAlignment="1">
      <alignment horizontal="right" vertical="center"/>
    </xf>
    <xf numFmtId="44" fontId="4" fillId="0" borderId="16" xfId="7" applyNumberFormat="1" applyFont="1" applyBorder="1" applyAlignment="1">
      <alignment horizontal="center" vertical="center"/>
    </xf>
    <xf numFmtId="0" fontId="7" fillId="3" borderId="18" xfId="7" applyFont="1" applyFill="1" applyBorder="1" applyAlignment="1">
      <alignment horizontal="center" vertical="center"/>
    </xf>
    <xf numFmtId="44" fontId="8" fillId="2" borderId="19" xfId="2" applyFont="1" applyFill="1" applyBorder="1" applyAlignment="1">
      <alignment horizontal="center" vertical="center"/>
    </xf>
    <xf numFmtId="44" fontId="0" fillId="0" borderId="0" xfId="7" applyNumberFormat="1" applyFont="1" applyAlignment="1">
      <alignment vertical="center"/>
    </xf>
    <xf numFmtId="10" fontId="8" fillId="2" borderId="19" xfId="3" applyNumberFormat="1" applyFont="1" applyFill="1" applyBorder="1" applyAlignment="1">
      <alignment horizontal="center" vertical="center"/>
    </xf>
    <xf numFmtId="44" fontId="8" fillId="4" borderId="19" xfId="2" applyFont="1" applyFill="1" applyBorder="1" applyAlignment="1">
      <alignment horizontal="center" vertical="center"/>
    </xf>
    <xf numFmtId="10" fontId="8" fillId="4" borderId="19" xfId="3" applyNumberFormat="1" applyFont="1" applyFill="1" applyBorder="1" applyAlignment="1">
      <alignment horizontal="center" vertical="center"/>
    </xf>
    <xf numFmtId="10" fontId="8" fillId="4" borderId="20" xfId="3" applyNumberFormat="1" applyFont="1" applyFill="1" applyBorder="1" applyAlignment="1">
      <alignment horizontal="center" vertical="center"/>
    </xf>
    <xf numFmtId="43" fontId="4" fillId="5" borderId="16" xfId="20" applyFont="1" applyFill="1" applyBorder="1" applyAlignment="1">
      <alignment horizontal="center" vertical="center"/>
    </xf>
    <xf numFmtId="44" fontId="4" fillId="5" borderId="16" xfId="2" applyFont="1" applyFill="1" applyBorder="1" applyAlignment="1">
      <alignment horizontal="center" vertical="center"/>
    </xf>
    <xf numFmtId="10" fontId="8" fillId="2" borderId="20" xfId="3" applyNumberFormat="1" applyFont="1" applyFill="1" applyBorder="1" applyAlignment="1">
      <alignment horizontal="center" vertical="center"/>
    </xf>
    <xf numFmtId="0" fontId="5" fillId="3" borderId="1" xfId="7" applyFont="1" applyFill="1" applyBorder="1" applyAlignment="1">
      <alignment horizontal="center" vertical="center"/>
    </xf>
    <xf numFmtId="44" fontId="11" fillId="2" borderId="17" xfId="7" applyNumberFormat="1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4" xfId="0" applyBorder="1" applyAlignment="1">
      <alignment horizontal="justify" vertical="center" wrapText="1"/>
    </xf>
    <xf numFmtId="2" fontId="0" fillId="0" borderId="24" xfId="0" applyNumberFormat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2" fontId="14" fillId="3" borderId="24" xfId="3" applyNumberFormat="1" applyFont="1" applyFill="1" applyBorder="1" applyAlignment="1">
      <alignment horizontal="center" vertical="center" wrapText="1"/>
    </xf>
    <xf numFmtId="0" fontId="15" fillId="0" borderId="0" xfId="12"/>
    <xf numFmtId="0" fontId="5" fillId="3" borderId="16" xfId="8" applyFont="1" applyFill="1" applyBorder="1" applyAlignment="1">
      <alignment vertical="center"/>
    </xf>
    <xf numFmtId="0" fontId="4" fillId="0" borderId="14" xfId="8" applyFont="1" applyBorder="1" applyAlignment="1">
      <alignment vertical="center" wrapText="1"/>
    </xf>
    <xf numFmtId="49" fontId="20" fillId="7" borderId="14" xfId="14" applyNumberFormat="1" applyFont="1" applyFill="1" applyBorder="1" applyAlignment="1">
      <alignment horizontal="center" vertical="center"/>
    </xf>
    <xf numFmtId="49" fontId="20" fillId="7" borderId="0" xfId="14" applyNumberFormat="1" applyFont="1" applyFill="1" applyAlignment="1">
      <alignment horizontal="center" vertical="center"/>
    </xf>
    <xf numFmtId="0" fontId="21" fillId="0" borderId="0" xfId="14" applyFont="1"/>
    <xf numFmtId="0" fontId="12" fillId="7" borderId="0" xfId="14" applyFont="1" applyFill="1" applyAlignment="1">
      <alignment horizontal="center" vertical="center"/>
    </xf>
    <xf numFmtId="0" fontId="12" fillId="0" borderId="33" xfId="14" applyFont="1" applyBorder="1" applyAlignment="1">
      <alignment horizontal="center" vertical="center"/>
    </xf>
    <xf numFmtId="0" fontId="0" fillId="0" borderId="0" xfId="14" applyFont="1" applyAlignment="1">
      <alignment vertical="center"/>
    </xf>
    <xf numFmtId="166" fontId="8" fillId="0" borderId="4" xfId="14" applyNumberFormat="1" applyFont="1" applyBorder="1" applyAlignment="1">
      <alignment horizontal="center" vertical="center" wrapText="1"/>
    </xf>
    <xf numFmtId="0" fontId="8" fillId="0" borderId="0" xfId="14" applyFont="1" applyAlignment="1">
      <alignment horizontal="justify" vertical="center" wrapText="1"/>
    </xf>
    <xf numFmtId="0" fontId="8" fillId="0" borderId="4" xfId="14" applyFont="1" applyBorder="1" applyAlignment="1">
      <alignment horizontal="justify" vertical="center" wrapText="1"/>
    </xf>
    <xf numFmtId="0" fontId="0" fillId="0" borderId="39" xfId="14" applyFont="1" applyBorder="1" applyAlignment="1">
      <alignment horizontal="center" vertical="center"/>
    </xf>
    <xf numFmtId="0" fontId="0" fillId="0" borderId="8" xfId="14" applyFont="1" applyBorder="1" applyAlignment="1">
      <alignment vertical="center"/>
    </xf>
    <xf numFmtId="10" fontId="0" fillId="8" borderId="19" xfId="22" applyNumberFormat="1" applyFont="1" applyFill="1" applyBorder="1" applyAlignment="1" applyProtection="1">
      <alignment horizontal="center" vertical="center"/>
      <protection locked="0"/>
    </xf>
    <xf numFmtId="10" fontId="0" fillId="0" borderId="0" xfId="22" applyNumberFormat="1" applyFont="1" applyBorder="1" applyAlignment="1">
      <alignment horizontal="center" vertical="center"/>
    </xf>
    <xf numFmtId="10" fontId="0" fillId="0" borderId="39" xfId="22" applyNumberFormat="1" applyFont="1" applyFill="1" applyBorder="1" applyAlignment="1" applyProtection="1">
      <alignment horizontal="center" vertical="center"/>
    </xf>
    <xf numFmtId="10" fontId="0" fillId="0" borderId="39" xfId="22" applyNumberFormat="1" applyFont="1" applyBorder="1" applyAlignment="1">
      <alignment horizontal="center" vertical="center"/>
    </xf>
    <xf numFmtId="10" fontId="8" fillId="2" borderId="20" xfId="22" applyNumberFormat="1" applyFont="1" applyFill="1" applyBorder="1" applyAlignment="1">
      <alignment horizontal="center" vertical="center"/>
    </xf>
    <xf numFmtId="10" fontId="8" fillId="0" borderId="0" xfId="22" applyNumberFormat="1" applyFont="1" applyBorder="1" applyAlignment="1">
      <alignment horizontal="center" vertical="center"/>
    </xf>
    <xf numFmtId="10" fontId="0" fillId="0" borderId="33" xfId="22" applyNumberFormat="1" applyFont="1" applyBorder="1" applyAlignment="1">
      <alignment horizontal="center" vertical="center"/>
    </xf>
    <xf numFmtId="0" fontId="0" fillId="0" borderId="0" xfId="14" applyFont="1" applyAlignment="1">
      <alignment horizontal="center" vertical="center"/>
    </xf>
    <xf numFmtId="10" fontId="0" fillId="0" borderId="4" xfId="22" applyNumberFormat="1" applyFont="1" applyBorder="1" applyAlignment="1">
      <alignment horizontal="center" vertical="center"/>
    </xf>
    <xf numFmtId="0" fontId="0" fillId="0" borderId="6" xfId="14" applyFont="1" applyBorder="1" applyAlignment="1">
      <alignment horizontal="center" vertical="center"/>
    </xf>
    <xf numFmtId="10" fontId="0" fillId="8" borderId="49" xfId="22" applyNumberFormat="1" applyFont="1" applyFill="1" applyBorder="1" applyAlignment="1" applyProtection="1">
      <alignment horizontal="center" vertical="center"/>
      <protection locked="0"/>
    </xf>
    <xf numFmtId="10" fontId="8" fillId="0" borderId="0" xfId="22" applyNumberFormat="1" applyFont="1" applyBorder="1" applyAlignment="1">
      <alignment horizontal="center" vertical="center" wrapText="1"/>
    </xf>
    <xf numFmtId="10" fontId="0" fillId="0" borderId="51" xfId="22" applyNumberFormat="1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10" fontId="0" fillId="7" borderId="0" xfId="22" applyNumberFormat="1" applyFont="1" applyFill="1" applyBorder="1" applyAlignment="1">
      <alignment vertical="center"/>
    </xf>
    <xf numFmtId="10" fontId="0" fillId="0" borderId="0" xfId="22" applyNumberFormat="1" applyFont="1" applyBorder="1" applyAlignment="1">
      <alignment vertical="center"/>
    </xf>
    <xf numFmtId="166" fontId="8" fillId="0" borderId="14" xfId="14" applyNumberFormat="1" applyFont="1" applyBorder="1" applyAlignment="1">
      <alignment horizontal="center" vertical="center" wrapText="1"/>
    </xf>
    <xf numFmtId="166" fontId="0" fillId="0" borderId="0" xfId="14" applyNumberFormat="1" applyFont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8" fillId="0" borderId="0" xfId="14" applyFont="1" applyAlignment="1">
      <alignment horizontal="center" vertical="center"/>
    </xf>
    <xf numFmtId="0" fontId="0" fillId="0" borderId="14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164" fontId="24" fillId="0" borderId="0" xfId="22" applyNumberFormat="1" applyFont="1" applyBorder="1" applyAlignment="1">
      <alignment vertical="center"/>
    </xf>
    <xf numFmtId="10" fontId="11" fillId="2" borderId="7" xfId="14" applyNumberFormat="1" applyFont="1" applyFill="1" applyBorder="1" applyAlignment="1">
      <alignment vertical="center"/>
    </xf>
    <xf numFmtId="10" fontId="4" fillId="0" borderId="0" xfId="14" applyNumberFormat="1" applyFont="1" applyAlignment="1">
      <alignment vertical="center"/>
    </xf>
    <xf numFmtId="10" fontId="11" fillId="2" borderId="12" xfId="14" applyNumberFormat="1" applyFont="1" applyFill="1" applyBorder="1" applyAlignment="1">
      <alignment vertical="center"/>
    </xf>
    <xf numFmtId="10" fontId="4" fillId="0" borderId="3" xfId="14" applyNumberFormat="1" applyFont="1" applyBorder="1" applyAlignment="1">
      <alignment vertical="center"/>
    </xf>
    <xf numFmtId="10" fontId="0" fillId="0" borderId="3" xfId="22" applyNumberFormat="1" applyFont="1" applyBorder="1" applyAlignment="1">
      <alignment vertical="center"/>
    </xf>
    <xf numFmtId="0" fontId="60" fillId="0" borderId="0" xfId="8"/>
    <xf numFmtId="0" fontId="21" fillId="0" borderId="55" xfId="14" applyFont="1" applyBorder="1"/>
    <xf numFmtId="0" fontId="12" fillId="0" borderId="20" xfId="14" applyFont="1" applyBorder="1" applyAlignment="1">
      <alignment horizontal="center" vertical="center"/>
    </xf>
    <xf numFmtId="0" fontId="21" fillId="0" borderId="18" xfId="14" applyFont="1" applyBorder="1"/>
    <xf numFmtId="10" fontId="0" fillId="0" borderId="19" xfId="22" applyNumberFormat="1" applyFont="1" applyBorder="1" applyAlignment="1">
      <alignment horizontal="center" vertical="center"/>
    </xf>
    <xf numFmtId="10" fontId="0" fillId="0" borderId="20" xfId="22" applyNumberFormat="1" applyFont="1" applyBorder="1" applyAlignment="1">
      <alignment horizontal="center" vertical="center"/>
    </xf>
    <xf numFmtId="10" fontId="0" fillId="0" borderId="55" xfId="22" applyNumberFormat="1" applyFont="1" applyBorder="1" applyAlignment="1">
      <alignment horizontal="center" vertical="center"/>
    </xf>
    <xf numFmtId="10" fontId="0" fillId="0" borderId="18" xfId="22" applyNumberFormat="1" applyFont="1" applyBorder="1" applyAlignment="1">
      <alignment horizontal="center" vertical="center"/>
    </xf>
    <xf numFmtId="10" fontId="0" fillId="0" borderId="57" xfId="22" applyNumberFormat="1" applyFont="1" applyBorder="1" applyAlignment="1">
      <alignment horizontal="center" vertical="center"/>
    </xf>
    <xf numFmtId="10" fontId="0" fillId="7" borderId="55" xfId="22" applyNumberFormat="1" applyFont="1" applyFill="1" applyBorder="1" applyAlignment="1">
      <alignment vertical="center"/>
    </xf>
    <xf numFmtId="10" fontId="0" fillId="0" borderId="55" xfId="22" applyNumberFormat="1" applyFont="1" applyBorder="1" applyAlignment="1">
      <alignment vertical="center"/>
    </xf>
    <xf numFmtId="10" fontId="0" fillId="0" borderId="24" xfId="22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60" fillId="0" borderId="0" xfId="7"/>
    <xf numFmtId="0" fontId="60" fillId="0" borderId="14" xfId="7" applyBorder="1"/>
    <xf numFmtId="4" fontId="60" fillId="0" borderId="0" xfId="7" applyNumberFormat="1"/>
    <xf numFmtId="0" fontId="26" fillId="0" borderId="14" xfId="7" applyFont="1" applyBorder="1" applyAlignment="1">
      <alignment horizontal="center" vertical="center"/>
    </xf>
    <xf numFmtId="0" fontId="26" fillId="0" borderId="0" xfId="7" applyFont="1" applyAlignment="1">
      <alignment horizontal="center" vertical="center"/>
    </xf>
    <xf numFmtId="0" fontId="29" fillId="0" borderId="0" xfId="7" applyFont="1" applyAlignment="1">
      <alignment vertical="center"/>
    </xf>
    <xf numFmtId="0" fontId="28" fillId="0" borderId="0" xfId="7" applyFont="1"/>
    <xf numFmtId="2" fontId="28" fillId="0" borderId="0" xfId="7" applyNumberFormat="1" applyFont="1"/>
    <xf numFmtId="0" fontId="30" fillId="0" borderId="0" xfId="7" applyFont="1"/>
    <xf numFmtId="0" fontId="30" fillId="0" borderId="14" xfId="7" applyFont="1" applyBorder="1"/>
    <xf numFmtId="2" fontId="30" fillId="0" borderId="0" xfId="7" applyNumberFormat="1" applyFont="1"/>
    <xf numFmtId="43" fontId="28" fillId="0" borderId="59" xfId="20" applyFont="1" applyBorder="1" applyAlignment="1">
      <alignment horizontal="center" vertical="center"/>
    </xf>
    <xf numFmtId="0" fontId="30" fillId="0" borderId="0" xfId="7" applyFont="1" applyAlignment="1">
      <alignment horizontal="left"/>
    </xf>
    <xf numFmtId="0" fontId="30" fillId="0" borderId="14" xfId="7" applyFont="1" applyBorder="1" applyAlignment="1">
      <alignment horizontal="left"/>
    </xf>
    <xf numFmtId="0" fontId="60" fillId="0" borderId="3" xfId="7" applyBorder="1"/>
    <xf numFmtId="0" fontId="60" fillId="0" borderId="55" xfId="7" applyBorder="1"/>
    <xf numFmtId="2" fontId="32" fillId="0" borderId="0" xfId="7" applyNumberFormat="1" applyFont="1"/>
    <xf numFmtId="0" fontId="31" fillId="0" borderId="0" xfId="7" applyFont="1"/>
    <xf numFmtId="2" fontId="28" fillId="0" borderId="59" xfId="7" applyNumberFormat="1" applyFont="1" applyBorder="1" applyAlignment="1">
      <alignment horizontal="center" vertical="center"/>
    </xf>
    <xf numFmtId="4" fontId="8" fillId="0" borderId="55" xfId="7" applyNumberFormat="1" applyFont="1" applyBorder="1"/>
    <xf numFmtId="0" fontId="60" fillId="0" borderId="24" xfId="7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3" borderId="16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vertical="center" wrapText="1"/>
    </xf>
    <xf numFmtId="0" fontId="0" fillId="2" borderId="16" xfId="0" applyFill="1" applyBorder="1" applyAlignment="1">
      <alignment horizontal="center" vertical="center" wrapText="1"/>
    </xf>
    <xf numFmtId="17" fontId="0" fillId="2" borderId="16" xfId="0" applyNumberFormat="1" applyFill="1" applyBorder="1" applyAlignment="1">
      <alignment horizontal="center" vertical="center" wrapText="1"/>
    </xf>
    <xf numFmtId="169" fontId="0" fillId="8" borderId="16" xfId="2" applyNumberFormat="1" applyFont="1" applyFill="1" applyBorder="1" applyAlignment="1">
      <alignment horizontal="center" vertical="center" wrapText="1"/>
    </xf>
    <xf numFmtId="0" fontId="0" fillId="0" borderId="61" xfId="0" applyBorder="1" applyAlignment="1">
      <alignment vertical="center" wrapText="1"/>
    </xf>
    <xf numFmtId="0" fontId="0" fillId="0" borderId="61" xfId="0" applyBorder="1" applyAlignment="1">
      <alignment horizontal="center" vertical="center" wrapText="1"/>
    </xf>
    <xf numFmtId="169" fontId="0" fillId="0" borderId="62" xfId="2" applyNumberFormat="1" applyFont="1" applyBorder="1" applyAlignment="1">
      <alignment horizontal="center" vertical="center" wrapText="1"/>
    </xf>
    <xf numFmtId="169" fontId="0" fillId="0" borderId="0" xfId="2" applyNumberFormat="1" applyFont="1" applyBorder="1" applyAlignment="1">
      <alignment horizontal="center" vertical="center" wrapText="1"/>
    </xf>
    <xf numFmtId="0" fontId="0" fillId="0" borderId="21" xfId="0" applyBorder="1"/>
    <xf numFmtId="0" fontId="0" fillId="0" borderId="26" xfId="0" applyBorder="1"/>
    <xf numFmtId="0" fontId="0" fillId="0" borderId="14" xfId="0" applyBorder="1"/>
    <xf numFmtId="0" fontId="0" fillId="0" borderId="55" xfId="0" applyBorder="1"/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10" fontId="33" fillId="2" borderId="19" xfId="0" applyNumberFormat="1" applyFont="1" applyFill="1" applyBorder="1" applyAlignment="1">
      <alignment vertical="center"/>
    </xf>
    <xf numFmtId="0" fontId="8" fillId="0" borderId="14" xfId="7" applyFont="1" applyBorder="1"/>
    <xf numFmtId="0" fontId="35" fillId="9" borderId="39" xfId="15" applyFont="1" applyFill="1" applyBorder="1" applyAlignment="1">
      <alignment horizontal="center" vertical="center" wrapText="1"/>
    </xf>
    <xf numFmtId="0" fontId="35" fillId="9" borderId="8" xfId="15" applyFont="1" applyFill="1" applyBorder="1" applyAlignment="1">
      <alignment horizontal="center" vertical="center" wrapText="1"/>
    </xf>
    <xf numFmtId="0" fontId="35" fillId="9" borderId="8" xfId="15" applyFont="1" applyFill="1" applyBorder="1" applyAlignment="1">
      <alignment horizontal="left" vertical="center" wrapText="1"/>
    </xf>
    <xf numFmtId="170" fontId="35" fillId="9" borderId="8" xfId="5" applyNumberFormat="1" applyFont="1" applyFill="1" applyBorder="1" applyAlignment="1">
      <alignment horizontal="center" vertical="center" wrapText="1"/>
    </xf>
    <xf numFmtId="170" fontId="35" fillId="9" borderId="19" xfId="5" applyNumberFormat="1" applyFont="1" applyFill="1" applyBorder="1" applyAlignment="1">
      <alignment horizontal="center" vertical="center" wrapText="1"/>
    </xf>
    <xf numFmtId="0" fontId="36" fillId="10" borderId="39" xfId="15" applyFont="1" applyFill="1" applyBorder="1" applyAlignment="1">
      <alignment horizontal="center" vertical="center" wrapText="1"/>
    </xf>
    <xf numFmtId="0" fontId="36" fillId="10" borderId="8" xfId="15" applyFont="1" applyFill="1" applyBorder="1" applyAlignment="1">
      <alignment horizontal="center" vertical="center" wrapText="1"/>
    </xf>
    <xf numFmtId="0" fontId="36" fillId="10" borderId="8" xfId="15" applyFont="1" applyFill="1" applyBorder="1" applyAlignment="1">
      <alignment horizontal="left" vertical="center" wrapText="1"/>
    </xf>
    <xf numFmtId="170" fontId="36" fillId="10" borderId="8" xfId="5" applyNumberFormat="1" applyFont="1" applyFill="1" applyBorder="1" applyAlignment="1">
      <alignment horizontal="center" vertical="center" wrapText="1"/>
    </xf>
    <xf numFmtId="44" fontId="36" fillId="2" borderId="8" xfId="2" applyFont="1" applyFill="1" applyBorder="1" applyAlignment="1">
      <alignment horizontal="center" vertical="center" wrapText="1"/>
    </xf>
    <xf numFmtId="44" fontId="36" fillId="10" borderId="19" xfId="2" applyFont="1" applyFill="1" applyBorder="1" applyAlignment="1">
      <alignment horizontal="center" vertical="center" wrapText="1"/>
    </xf>
    <xf numFmtId="44" fontId="9" fillId="2" borderId="19" xfId="2" applyFont="1" applyFill="1" applyBorder="1" applyAlignment="1">
      <alignment horizontal="right" vertical="center"/>
    </xf>
    <xf numFmtId="171" fontId="36" fillId="10" borderId="8" xfId="15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39" fillId="2" borderId="21" xfId="0" applyFont="1" applyFill="1" applyBorder="1" applyAlignment="1">
      <alignment horizontal="left" vertical="center"/>
    </xf>
    <xf numFmtId="0" fontId="0" fillId="2" borderId="26" xfId="0" applyFill="1" applyBorder="1"/>
    <xf numFmtId="0" fontId="39" fillId="2" borderId="26" xfId="0" applyFont="1" applyFill="1" applyBorder="1" applyAlignment="1">
      <alignment horizontal="left" vertical="center"/>
    </xf>
    <xf numFmtId="0" fontId="39" fillId="2" borderId="26" xfId="0" applyFont="1" applyFill="1" applyBorder="1" applyAlignment="1">
      <alignment horizontal="right" vertical="center"/>
    </xf>
    <xf numFmtId="172" fontId="39" fillId="2" borderId="26" xfId="0" applyNumberFormat="1" applyFont="1" applyFill="1" applyBorder="1" applyAlignment="1">
      <alignment horizontal="left" vertical="center"/>
    </xf>
    <xf numFmtId="0" fontId="40" fillId="2" borderId="14" xfId="0" applyFont="1" applyFill="1" applyBorder="1" applyAlignment="1">
      <alignment horizontal="left" vertical="center"/>
    </xf>
    <xf numFmtId="0" fontId="0" fillId="2" borderId="0" xfId="0" applyFill="1"/>
    <xf numFmtId="17" fontId="40" fillId="2" borderId="0" xfId="0" applyNumberFormat="1" applyFont="1" applyFill="1" applyAlignment="1">
      <alignment horizontal="left" vertical="center"/>
    </xf>
    <xf numFmtId="0" fontId="40" fillId="2" borderId="0" xfId="0" applyFont="1" applyFill="1" applyAlignment="1">
      <alignment horizontal="right" vertical="center"/>
    </xf>
    <xf numFmtId="4" fontId="40" fillId="2" borderId="0" xfId="0" applyNumberFormat="1" applyFont="1" applyFill="1" applyAlignment="1">
      <alignment horizontal="right" vertical="center"/>
    </xf>
    <xf numFmtId="0" fontId="40" fillId="2" borderId="23" xfId="0" applyFont="1" applyFill="1" applyBorder="1" applyAlignment="1">
      <alignment horizontal="left" vertical="center" wrapText="1"/>
    </xf>
    <xf numFmtId="0" fontId="42" fillId="2" borderId="23" xfId="0" applyFont="1" applyFill="1" applyBorder="1" applyAlignment="1">
      <alignment horizontal="left" vertical="center"/>
    </xf>
    <xf numFmtId="0" fontId="42" fillId="2" borderId="3" xfId="0" applyFont="1" applyFill="1" applyBorder="1" applyAlignment="1">
      <alignment horizontal="center" vertical="center"/>
    </xf>
    <xf numFmtId="0" fontId="38" fillId="2" borderId="3" xfId="0" applyFont="1" applyFill="1" applyBorder="1" applyAlignment="1">
      <alignment horizontal="center" vertical="center"/>
    </xf>
    <xf numFmtId="0" fontId="38" fillId="2" borderId="14" xfId="0" applyFont="1" applyFill="1" applyBorder="1" applyAlignment="1">
      <alignment horizontal="center" vertical="center"/>
    </xf>
    <xf numFmtId="0" fontId="38" fillId="2" borderId="0" xfId="0" applyFont="1" applyFill="1" applyAlignment="1">
      <alignment horizontal="left" vertical="center" wrapText="1"/>
    </xf>
    <xf numFmtId="172" fontId="38" fillId="2" borderId="0" xfId="0" applyNumberFormat="1" applyFont="1" applyFill="1" applyAlignment="1">
      <alignment horizontal="center" vertical="center"/>
    </xf>
    <xf numFmtId="4" fontId="38" fillId="2" borderId="0" xfId="0" applyNumberFormat="1" applyFont="1" applyFill="1" applyAlignment="1">
      <alignment horizontal="center" vertical="center"/>
    </xf>
    <xf numFmtId="171" fontId="38" fillId="2" borderId="0" xfId="0" applyNumberFormat="1" applyFont="1" applyFill="1" applyAlignment="1">
      <alignment horizontal="right" vertical="center"/>
    </xf>
    <xf numFmtId="0" fontId="38" fillId="2" borderId="23" xfId="0" applyFont="1" applyFill="1" applyBorder="1" applyAlignment="1">
      <alignment horizontal="center" vertical="center"/>
    </xf>
    <xf numFmtId="0" fontId="42" fillId="2" borderId="3" xfId="0" applyFont="1" applyFill="1" applyBorder="1" applyAlignment="1">
      <alignment horizontal="right" vertical="center"/>
    </xf>
    <xf numFmtId="0" fontId="38" fillId="2" borderId="0" xfId="0" applyFont="1" applyFill="1" applyAlignment="1">
      <alignment horizontal="center" vertical="center"/>
    </xf>
    <xf numFmtId="0" fontId="0" fillId="2" borderId="14" xfId="0" applyFill="1" applyBorder="1"/>
    <xf numFmtId="0" fontId="42" fillId="2" borderId="0" xfId="0" applyFont="1" applyFill="1" applyAlignment="1">
      <alignment horizontal="right" vertical="center"/>
    </xf>
    <xf numFmtId="172" fontId="40" fillId="2" borderId="0" xfId="0" applyNumberFormat="1" applyFont="1" applyFill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0" fillId="2" borderId="22" xfId="0" applyFill="1" applyBorder="1"/>
    <xf numFmtId="0" fontId="40" fillId="2" borderId="55" xfId="0" applyFont="1" applyFill="1" applyBorder="1" applyAlignment="1">
      <alignment horizontal="left" vertical="center"/>
    </xf>
    <xf numFmtId="0" fontId="42" fillId="2" borderId="55" xfId="0" applyFont="1" applyFill="1" applyBorder="1" applyAlignment="1">
      <alignment horizontal="center" vertical="center"/>
    </xf>
    <xf numFmtId="0" fontId="42" fillId="2" borderId="24" xfId="0" applyFont="1" applyFill="1" applyBorder="1" applyAlignment="1">
      <alignment horizontal="center" vertical="center"/>
    </xf>
    <xf numFmtId="171" fontId="38" fillId="2" borderId="55" xfId="0" applyNumberFormat="1" applyFont="1" applyFill="1" applyBorder="1" applyAlignment="1">
      <alignment horizontal="right" vertical="center"/>
    </xf>
    <xf numFmtId="171" fontId="38" fillId="2" borderId="24" xfId="0" applyNumberFormat="1" applyFont="1" applyFill="1" applyBorder="1" applyAlignment="1">
      <alignment horizontal="right" vertical="center"/>
    </xf>
    <xf numFmtId="171" fontId="42" fillId="2" borderId="24" xfId="0" applyNumberFormat="1" applyFont="1" applyFill="1" applyBorder="1" applyAlignment="1">
      <alignment horizontal="right" vertical="center"/>
    </xf>
    <xf numFmtId="171" fontId="42" fillId="2" borderId="55" xfId="0" applyNumberFormat="1" applyFont="1" applyFill="1" applyBorder="1" applyAlignment="1">
      <alignment horizontal="right" vertical="center"/>
    </xf>
    <xf numFmtId="172" fontId="42" fillId="2" borderId="55" xfId="0" applyNumberFormat="1" applyFont="1" applyFill="1" applyBorder="1" applyAlignment="1">
      <alignment horizontal="right" vertical="center"/>
    </xf>
    <xf numFmtId="0" fontId="0" fillId="2" borderId="55" xfId="0" applyFill="1" applyBorder="1"/>
    <xf numFmtId="44" fontId="42" fillId="11" borderId="24" xfId="2" applyFont="1" applyFill="1" applyBorder="1" applyAlignment="1">
      <alignment horizontal="right" vertical="center"/>
    </xf>
    <xf numFmtId="4" fontId="4" fillId="12" borderId="0" xfId="0" applyNumberFormat="1" applyFont="1" applyFill="1" applyAlignment="1">
      <alignment horizontal="right" vertical="center"/>
    </xf>
    <xf numFmtId="0" fontId="4" fillId="12" borderId="23" xfId="0" applyFont="1" applyFill="1" applyBorder="1" applyAlignment="1">
      <alignment horizontal="left" vertical="center" wrapText="1"/>
    </xf>
    <xf numFmtId="0" fontId="0" fillId="0" borderId="0" xfId="7" applyFont="1"/>
    <xf numFmtId="0" fontId="1" fillId="0" borderId="0" xfId="7" applyFont="1"/>
    <xf numFmtId="4" fontId="60" fillId="0" borderId="0" xfId="7" applyNumberFormat="1" applyAlignment="1">
      <alignment horizontal="right"/>
    </xf>
    <xf numFmtId="0" fontId="8" fillId="0" borderId="14" xfId="7" applyFont="1" applyBorder="1" applyAlignment="1">
      <alignment horizontal="left" vertical="top"/>
    </xf>
    <xf numFmtId="0" fontId="8" fillId="0" borderId="0" xfId="7" applyFont="1" applyAlignment="1">
      <alignment vertical="top" wrapText="1"/>
    </xf>
    <xf numFmtId="0" fontId="8" fillId="0" borderId="0" xfId="7" applyFont="1" applyAlignment="1">
      <alignment horizontal="center" vertical="top" wrapText="1"/>
    </xf>
    <xf numFmtId="0" fontId="8" fillId="0" borderId="0" xfId="7" applyFont="1" applyAlignment="1">
      <alignment wrapText="1"/>
    </xf>
    <xf numFmtId="10" fontId="8" fillId="0" borderId="0" xfId="7" applyNumberFormat="1" applyFont="1" applyAlignment="1">
      <alignment wrapText="1"/>
    </xf>
    <xf numFmtId="0" fontId="6" fillId="3" borderId="16" xfId="7" applyFont="1" applyFill="1" applyBorder="1" applyAlignment="1">
      <alignment horizontal="center" vertical="center"/>
    </xf>
    <xf numFmtId="4" fontId="6" fillId="3" borderId="16" xfId="7" applyNumberFormat="1" applyFont="1" applyFill="1" applyBorder="1" applyAlignment="1">
      <alignment horizontal="center" vertical="center"/>
    </xf>
    <xf numFmtId="4" fontId="6" fillId="3" borderId="16" xfId="7" applyNumberFormat="1" applyFont="1" applyFill="1" applyBorder="1" applyAlignment="1">
      <alignment horizontal="center" vertical="center" wrapText="1"/>
    </xf>
    <xf numFmtId="0" fontId="8" fillId="2" borderId="39" xfId="7" applyFont="1" applyFill="1" applyBorder="1" applyAlignment="1">
      <alignment horizontal="center" vertical="center"/>
    </xf>
    <xf numFmtId="0" fontId="9" fillId="2" borderId="8" xfId="7" applyFont="1" applyFill="1" applyBorder="1" applyAlignment="1">
      <alignment horizontal="center" vertical="center" wrapText="1"/>
    </xf>
    <xf numFmtId="0" fontId="8" fillId="2" borderId="8" xfId="7" applyFont="1" applyFill="1" applyBorder="1" applyAlignment="1">
      <alignment horizontal="left" vertical="center" wrapText="1"/>
    </xf>
    <xf numFmtId="0" fontId="8" fillId="2" borderId="8" xfId="7" applyFont="1" applyFill="1" applyBorder="1" applyAlignment="1">
      <alignment horizontal="center" vertical="center"/>
    </xf>
    <xf numFmtId="4" fontId="8" fillId="2" borderId="8" xfId="7" applyNumberFormat="1" applyFont="1" applyFill="1" applyBorder="1" applyAlignment="1">
      <alignment horizontal="center" vertical="center"/>
    </xf>
    <xf numFmtId="43" fontId="8" fillId="2" borderId="8" xfId="1" applyFont="1" applyFill="1" applyBorder="1" applyAlignment="1" applyProtection="1">
      <alignment horizontal="center" vertical="center"/>
    </xf>
    <xf numFmtId="173" fontId="8" fillId="2" borderId="8" xfId="7" applyNumberFormat="1" applyFont="1" applyFill="1" applyBorder="1" applyAlignment="1">
      <alignment horizontal="center" vertical="center"/>
    </xf>
    <xf numFmtId="10" fontId="8" fillId="2" borderId="8" xfId="3" applyNumberFormat="1" applyFont="1" applyFill="1" applyBorder="1" applyAlignment="1">
      <alignment horizontal="center" vertical="center"/>
    </xf>
    <xf numFmtId="43" fontId="8" fillId="2" borderId="8" xfId="1" applyFont="1" applyFill="1" applyBorder="1" applyAlignment="1">
      <alignment horizontal="center" vertical="center"/>
    </xf>
    <xf numFmtId="0" fontId="6" fillId="3" borderId="39" xfId="7" applyFont="1" applyFill="1" applyBorder="1" applyAlignment="1">
      <alignment horizontal="center" vertical="center"/>
    </xf>
    <xf numFmtId="0" fontId="8" fillId="2" borderId="33" xfId="7" applyFont="1" applyFill="1" applyBorder="1" applyAlignment="1">
      <alignment horizontal="center" vertical="center"/>
    </xf>
    <xf numFmtId="0" fontId="9" fillId="2" borderId="13" xfId="7" applyFont="1" applyFill="1" applyBorder="1" applyAlignment="1">
      <alignment horizontal="center" vertical="center" wrapText="1"/>
    </xf>
    <xf numFmtId="0" fontId="8" fillId="2" borderId="13" xfId="7" applyFont="1" applyFill="1" applyBorder="1" applyAlignment="1">
      <alignment horizontal="left" vertical="center" wrapText="1"/>
    </xf>
    <xf numFmtId="0" fontId="8" fillId="2" borderId="13" xfId="7" applyFont="1" applyFill="1" applyBorder="1" applyAlignment="1">
      <alignment horizontal="center" vertical="center"/>
    </xf>
    <xf numFmtId="4" fontId="8" fillId="2" borderId="13" xfId="7" applyNumberFormat="1" applyFont="1" applyFill="1" applyBorder="1" applyAlignment="1">
      <alignment horizontal="center" vertical="center"/>
    </xf>
    <xf numFmtId="0" fontId="0" fillId="0" borderId="21" xfId="7" applyFont="1" applyBorder="1" applyAlignment="1">
      <alignment vertical="center"/>
    </xf>
    <xf numFmtId="0" fontId="0" fillId="0" borderId="26" xfId="7" applyFont="1" applyBorder="1" applyAlignment="1">
      <alignment vertical="center"/>
    </xf>
    <xf numFmtId="0" fontId="0" fillId="0" borderId="54" xfId="7" applyFont="1" applyBorder="1" applyAlignment="1">
      <alignment vertical="center"/>
    </xf>
    <xf numFmtId="0" fontId="0" fillId="0" borderId="14" xfId="7" applyFont="1" applyBorder="1" applyAlignment="1">
      <alignment vertical="center"/>
    </xf>
    <xf numFmtId="0" fontId="0" fillId="0" borderId="15" xfId="7" applyFont="1" applyBorder="1" applyAlignment="1">
      <alignment vertical="center"/>
    </xf>
    <xf numFmtId="0" fontId="0" fillId="0" borderId="23" xfId="7" applyFont="1" applyBorder="1" applyAlignment="1">
      <alignment vertical="top" wrapText="1"/>
    </xf>
    <xf numFmtId="0" fontId="0" fillId="0" borderId="3" xfId="7" applyFont="1" applyBorder="1" applyAlignment="1">
      <alignment vertical="top" wrapText="1"/>
    </xf>
    <xf numFmtId="0" fontId="0" fillId="0" borderId="3" xfId="7" applyFont="1" applyBorder="1"/>
    <xf numFmtId="10" fontId="8" fillId="0" borderId="0" xfId="3" applyNumberFormat="1" applyFont="1" applyFill="1" applyBorder="1" applyAlignment="1" applyProtection="1">
      <alignment wrapText="1"/>
    </xf>
    <xf numFmtId="168" fontId="60" fillId="0" borderId="0" xfId="7" applyNumberFormat="1"/>
    <xf numFmtId="174" fontId="60" fillId="0" borderId="0" xfId="7" applyNumberFormat="1"/>
    <xf numFmtId="0" fontId="6" fillId="3" borderId="22" xfId="7" applyFont="1" applyFill="1" applyBorder="1" applyAlignment="1">
      <alignment horizontal="center" vertical="center"/>
    </xf>
    <xf numFmtId="175" fontId="8" fillId="2" borderId="8" xfId="2" applyNumberFormat="1" applyFont="1" applyFill="1" applyBorder="1" applyAlignment="1">
      <alignment horizontal="right" vertical="center"/>
    </xf>
    <xf numFmtId="44" fontId="8" fillId="2" borderId="40" xfId="2" applyFont="1" applyFill="1" applyBorder="1" applyAlignment="1">
      <alignment horizontal="right" vertical="center"/>
    </xf>
    <xf numFmtId="44" fontId="49" fillId="13" borderId="40" xfId="2" applyFont="1" applyFill="1" applyBorder="1" applyAlignment="1">
      <alignment horizontal="right" vertical="center"/>
    </xf>
    <xf numFmtId="10" fontId="8" fillId="0" borderId="19" xfId="3" applyNumberFormat="1" applyFont="1" applyBorder="1" applyAlignment="1">
      <alignment horizontal="center" vertical="center"/>
    </xf>
    <xf numFmtId="43" fontId="0" fillId="0" borderId="0" xfId="20" applyFont="1"/>
    <xf numFmtId="0" fontId="47" fillId="3" borderId="55" xfId="7" applyFont="1" applyFill="1" applyBorder="1" applyAlignment="1">
      <alignment horizontal="center" vertical="center"/>
    </xf>
    <xf numFmtId="43" fontId="0" fillId="0" borderId="0" xfId="7" applyNumberFormat="1" applyFont="1"/>
    <xf numFmtId="44" fontId="49" fillId="13" borderId="36" xfId="2" applyFont="1" applyFill="1" applyBorder="1" applyAlignment="1">
      <alignment horizontal="right" vertical="center"/>
    </xf>
    <xf numFmtId="10" fontId="8" fillId="0" borderId="18" xfId="3" applyNumberFormat="1" applyFont="1" applyBorder="1" applyAlignment="1">
      <alignment horizontal="center" vertical="center"/>
    </xf>
    <xf numFmtId="2" fontId="0" fillId="0" borderId="19" xfId="7" applyNumberFormat="1" applyFont="1" applyBorder="1" applyAlignment="1">
      <alignment horizontal="center" vertical="center"/>
    </xf>
    <xf numFmtId="44" fontId="50" fillId="13" borderId="40" xfId="2" applyFont="1" applyFill="1" applyBorder="1" applyAlignment="1">
      <alignment horizontal="right" vertical="center"/>
    </xf>
    <xf numFmtId="175" fontId="0" fillId="0" borderId="0" xfId="7" applyNumberFormat="1" applyFont="1"/>
    <xf numFmtId="0" fontId="0" fillId="0" borderId="55" xfId="7" applyFont="1" applyBorder="1" applyAlignment="1">
      <alignment vertical="center"/>
    </xf>
    <xf numFmtId="0" fontId="0" fillId="0" borderId="55" xfId="7" applyFont="1" applyBorder="1" applyAlignment="1">
      <alignment horizontal="center" vertical="center"/>
    </xf>
    <xf numFmtId="44" fontId="50" fillId="13" borderId="20" xfId="2" applyFont="1" applyFill="1" applyBorder="1" applyAlignment="1">
      <alignment horizontal="right" vertical="center"/>
    </xf>
    <xf numFmtId="0" fontId="0" fillId="0" borderId="24" xfId="7" applyFont="1" applyBorder="1" applyAlignment="1">
      <alignment horizontal="center" vertical="center"/>
    </xf>
    <xf numFmtId="49" fontId="44" fillId="0" borderId="21" xfId="7" applyNumberFormat="1" applyFont="1" applyBorder="1" applyAlignment="1">
      <alignment vertical="top" wrapText="1"/>
    </xf>
    <xf numFmtId="49" fontId="44" fillId="0" borderId="26" xfId="7" applyNumberFormat="1" applyFont="1" applyBorder="1" applyAlignment="1">
      <alignment vertical="top" wrapText="1"/>
    </xf>
    <xf numFmtId="10" fontId="8" fillId="0" borderId="0" xfId="3" applyNumberFormat="1" applyFont="1" applyFill="1" applyBorder="1" applyAlignment="1" applyProtection="1"/>
    <xf numFmtId="4" fontId="6" fillId="3" borderId="25" xfId="7" applyNumberFormat="1" applyFont="1" applyFill="1" applyBorder="1" applyAlignment="1">
      <alignment horizontal="center" vertical="center" wrapText="1"/>
    </xf>
    <xf numFmtId="0" fontId="8" fillId="2" borderId="16" xfId="7" applyFont="1" applyFill="1" applyBorder="1" applyAlignment="1">
      <alignment horizontal="center" vertical="center"/>
    </xf>
    <xf numFmtId="0" fontId="9" fillId="2" borderId="16" xfId="7" applyFont="1" applyFill="1" applyBorder="1" applyAlignment="1">
      <alignment horizontal="center" vertical="center" wrapText="1"/>
    </xf>
    <xf numFmtId="0" fontId="8" fillId="2" borderId="16" xfId="7" applyFont="1" applyFill="1" applyBorder="1" applyAlignment="1">
      <alignment horizontal="left" vertical="center" wrapText="1"/>
    </xf>
    <xf numFmtId="171" fontId="8" fillId="12" borderId="66" xfId="7" applyNumberFormat="1" applyFont="1" applyFill="1" applyBorder="1" applyAlignment="1">
      <alignment horizontal="center" vertical="center"/>
    </xf>
    <xf numFmtId="171" fontId="8" fillId="12" borderId="68" xfId="7" applyNumberFormat="1" applyFont="1" applyFill="1" applyBorder="1" applyAlignment="1">
      <alignment horizontal="center" vertical="center"/>
    </xf>
    <xf numFmtId="4" fontId="8" fillId="2" borderId="16" xfId="7" applyNumberFormat="1" applyFont="1" applyFill="1" applyBorder="1" applyAlignment="1">
      <alignment horizontal="center" vertical="center"/>
    </xf>
    <xf numFmtId="171" fontId="8" fillId="12" borderId="41" xfId="7" applyNumberFormat="1" applyFont="1" applyFill="1" applyBorder="1" applyAlignment="1">
      <alignment horizontal="center" vertical="center"/>
    </xf>
    <xf numFmtId="171" fontId="8" fillId="12" borderId="40" xfId="7" applyNumberFormat="1" applyFont="1" applyFill="1" applyBorder="1" applyAlignment="1">
      <alignment horizontal="center" vertical="center"/>
    </xf>
    <xf numFmtId="10" fontId="8" fillId="2" borderId="16" xfId="3" applyNumberFormat="1" applyFont="1" applyFill="1" applyBorder="1" applyAlignment="1">
      <alignment horizontal="center" vertical="center"/>
    </xf>
    <xf numFmtId="0" fontId="8" fillId="2" borderId="69" xfId="7" applyFont="1" applyFill="1" applyBorder="1" applyAlignment="1">
      <alignment horizontal="center" vertical="center"/>
    </xf>
    <xf numFmtId="171" fontId="8" fillId="12" borderId="46" xfId="7" applyNumberFormat="1" applyFont="1" applyFill="1" applyBorder="1" applyAlignment="1">
      <alignment horizontal="center" vertical="center"/>
    </xf>
    <xf numFmtId="171" fontId="8" fillId="12" borderId="45" xfId="7" applyNumberFormat="1" applyFont="1" applyFill="1" applyBorder="1" applyAlignment="1">
      <alignment horizontal="center" vertical="center"/>
    </xf>
    <xf numFmtId="4" fontId="8" fillId="2" borderId="69" xfId="7" applyNumberFormat="1" applyFont="1" applyFill="1" applyBorder="1" applyAlignment="1">
      <alignment horizontal="center" vertical="center"/>
    </xf>
    <xf numFmtId="44" fontId="8" fillId="2" borderId="16" xfId="7" applyNumberFormat="1" applyFont="1" applyFill="1" applyBorder="1" applyAlignment="1">
      <alignment horizontal="center" vertical="center"/>
    </xf>
    <xf numFmtId="175" fontId="8" fillId="2" borderId="16" xfId="2" applyNumberFormat="1" applyFont="1" applyFill="1" applyBorder="1" applyAlignment="1">
      <alignment horizontal="right" vertical="center"/>
    </xf>
    <xf numFmtId="44" fontId="8" fillId="2" borderId="16" xfId="2" applyFont="1" applyFill="1" applyBorder="1" applyAlignment="1">
      <alignment horizontal="right" vertical="center"/>
    </xf>
    <xf numFmtId="175" fontId="8" fillId="2" borderId="16" xfId="3" applyNumberFormat="1" applyFont="1" applyFill="1" applyBorder="1" applyAlignment="1">
      <alignment horizontal="center" vertical="center"/>
    </xf>
    <xf numFmtId="44" fontId="49" fillId="13" borderId="16" xfId="2" applyFont="1" applyFill="1" applyBorder="1" applyAlignment="1">
      <alignment horizontal="right" vertical="center"/>
    </xf>
    <xf numFmtId="10" fontId="8" fillId="0" borderId="16" xfId="3" applyNumberFormat="1" applyFont="1" applyBorder="1" applyAlignment="1">
      <alignment horizontal="center" vertical="center"/>
    </xf>
    <xf numFmtId="0" fontId="47" fillId="3" borderId="16" xfId="7" applyFont="1" applyFill="1" applyBorder="1" applyAlignment="1">
      <alignment horizontal="center" vertical="center"/>
    </xf>
    <xf numFmtId="2" fontId="0" fillId="0" borderId="70" xfId="7" applyNumberFormat="1" applyFont="1" applyBorder="1" applyAlignment="1">
      <alignment horizontal="center" vertical="center"/>
    </xf>
    <xf numFmtId="44" fontId="50" fillId="13" borderId="2" xfId="2" applyFont="1" applyFill="1" applyBorder="1" applyAlignment="1">
      <alignment horizontal="right" vertical="center"/>
    </xf>
    <xf numFmtId="10" fontId="8" fillId="0" borderId="57" xfId="3" applyNumberFormat="1" applyFont="1" applyBorder="1" applyAlignment="1">
      <alignment horizontal="center" vertical="center"/>
    </xf>
    <xf numFmtId="0" fontId="6" fillId="3" borderId="1" xfId="7" applyFont="1" applyFill="1" applyBorder="1" applyAlignment="1">
      <alignment horizontal="left" vertical="center" wrapText="1"/>
    </xf>
    <xf numFmtId="0" fontId="6" fillId="3" borderId="17" xfId="7" applyFont="1" applyFill="1" applyBorder="1" applyAlignment="1">
      <alignment horizontal="left" vertical="center" wrapText="1"/>
    </xf>
    <xf numFmtId="0" fontId="47" fillId="3" borderId="1" xfId="7" applyFont="1" applyFill="1" applyBorder="1" applyAlignment="1">
      <alignment horizontal="center" vertical="center"/>
    </xf>
    <xf numFmtId="0" fontId="47" fillId="3" borderId="2" xfId="7" applyFont="1" applyFill="1" applyBorder="1" applyAlignment="1">
      <alignment horizontal="center" vertical="center"/>
    </xf>
    <xf numFmtId="0" fontId="47" fillId="3" borderId="17" xfId="7" applyFont="1" applyFill="1" applyBorder="1" applyAlignment="1">
      <alignment horizontal="center" vertical="center"/>
    </xf>
    <xf numFmtId="4" fontId="34" fillId="0" borderId="51" xfId="7" applyNumberFormat="1" applyFont="1" applyBorder="1" applyAlignment="1">
      <alignment horizontal="center" vertical="center"/>
    </xf>
    <xf numFmtId="4" fontId="34" fillId="0" borderId="60" xfId="7" applyNumberFormat="1" applyFont="1" applyBorder="1" applyAlignment="1">
      <alignment horizontal="center" vertical="center"/>
    </xf>
    <xf numFmtId="4" fontId="34" fillId="0" borderId="52" xfId="7" applyNumberFormat="1" applyFont="1" applyBorder="1" applyAlignment="1">
      <alignment horizontal="center" vertical="center"/>
    </xf>
    <xf numFmtId="4" fontId="34" fillId="0" borderId="57" xfId="7" applyNumberFormat="1" applyFont="1" applyBorder="1" applyAlignment="1">
      <alignment horizontal="center" vertical="center"/>
    </xf>
    <xf numFmtId="4" fontId="14" fillId="3" borderId="1" xfId="7" applyNumberFormat="1" applyFont="1" applyFill="1" applyBorder="1" applyAlignment="1">
      <alignment horizontal="right" vertical="center"/>
    </xf>
    <xf numFmtId="4" fontId="14" fillId="3" borderId="2" xfId="7" applyNumberFormat="1" applyFont="1" applyFill="1" applyBorder="1" applyAlignment="1">
      <alignment horizontal="right" vertical="center"/>
    </xf>
    <xf numFmtId="4" fontId="14" fillId="3" borderId="17" xfId="7" applyNumberFormat="1" applyFont="1" applyFill="1" applyBorder="1" applyAlignment="1">
      <alignment horizontal="right" vertical="center"/>
    </xf>
    <xf numFmtId="49" fontId="52" fillId="0" borderId="21" xfId="11" applyNumberFormat="1" applyFont="1" applyBorder="1" applyAlignment="1">
      <alignment horizontal="center" vertical="center" wrapText="1"/>
    </xf>
    <xf numFmtId="49" fontId="52" fillId="0" borderId="26" xfId="11" applyNumberFormat="1" applyFont="1" applyBorder="1" applyAlignment="1">
      <alignment horizontal="center" vertical="center" wrapText="1"/>
    </xf>
    <xf numFmtId="49" fontId="52" fillId="0" borderId="22" xfId="11" applyNumberFormat="1" applyFont="1" applyBorder="1" applyAlignment="1">
      <alignment horizontal="center" vertical="center" wrapText="1"/>
    </xf>
    <xf numFmtId="49" fontId="52" fillId="0" borderId="14" xfId="11" applyNumberFormat="1" applyFont="1" applyBorder="1" applyAlignment="1">
      <alignment horizontal="center" vertical="center" wrapText="1"/>
    </xf>
    <xf numFmtId="49" fontId="52" fillId="0" borderId="0" xfId="11" applyNumberFormat="1" applyFont="1" applyAlignment="1">
      <alignment horizontal="center" vertical="center" wrapText="1"/>
    </xf>
    <xf numFmtId="49" fontId="52" fillId="0" borderId="55" xfId="11" applyNumberFormat="1" applyFont="1" applyBorder="1" applyAlignment="1">
      <alignment horizontal="center" vertical="center" wrapText="1"/>
    </xf>
    <xf numFmtId="49" fontId="52" fillId="0" borderId="23" xfId="11" applyNumberFormat="1" applyFont="1" applyBorder="1" applyAlignment="1">
      <alignment horizontal="center" vertical="center" wrapText="1"/>
    </xf>
    <xf numFmtId="49" fontId="52" fillId="0" borderId="3" xfId="11" applyNumberFormat="1" applyFont="1" applyBorder="1" applyAlignment="1">
      <alignment horizontal="center" vertical="center" wrapText="1"/>
    </xf>
    <xf numFmtId="49" fontId="52" fillId="0" borderId="24" xfId="11" applyNumberFormat="1" applyFont="1" applyBorder="1" applyAlignment="1">
      <alignment horizontal="center" vertical="center" wrapText="1"/>
    </xf>
    <xf numFmtId="0" fontId="5" fillId="3" borderId="21" xfId="7" applyFont="1" applyFill="1" applyBorder="1" applyAlignment="1">
      <alignment horizontal="center" vertical="center" wrapText="1"/>
    </xf>
    <xf numFmtId="0" fontId="5" fillId="3" borderId="26" xfId="7" applyFont="1" applyFill="1" applyBorder="1" applyAlignment="1">
      <alignment horizontal="center" vertical="center" wrapText="1"/>
    </xf>
    <xf numFmtId="0" fontId="5" fillId="3" borderId="22" xfId="7" applyFont="1" applyFill="1" applyBorder="1" applyAlignment="1">
      <alignment horizontal="center" vertical="center" wrapText="1"/>
    </xf>
    <xf numFmtId="0" fontId="5" fillId="3" borderId="23" xfId="7" applyFont="1" applyFill="1" applyBorder="1" applyAlignment="1">
      <alignment horizontal="center" vertical="center" wrapText="1"/>
    </xf>
    <xf numFmtId="0" fontId="5" fillId="3" borderId="3" xfId="7" applyFont="1" applyFill="1" applyBorder="1" applyAlignment="1">
      <alignment horizontal="center" vertical="center" wrapText="1"/>
    </xf>
    <xf numFmtId="0" fontId="5" fillId="3" borderId="24" xfId="7" applyFont="1" applyFill="1" applyBorder="1" applyAlignment="1">
      <alignment horizontal="center" vertical="center" wrapText="1"/>
    </xf>
    <xf numFmtId="0" fontId="6" fillId="3" borderId="1" xfId="7" applyFont="1" applyFill="1" applyBorder="1" applyAlignment="1">
      <alignment horizontal="center" vertical="center"/>
    </xf>
    <xf numFmtId="0" fontId="6" fillId="3" borderId="17" xfId="7" applyFont="1" applyFill="1" applyBorder="1" applyAlignment="1">
      <alignment horizontal="center" vertical="center"/>
    </xf>
    <xf numFmtId="0" fontId="46" fillId="0" borderId="14" xfId="7" applyFont="1" applyBorder="1" applyAlignment="1">
      <alignment horizontal="center" vertical="center"/>
    </xf>
    <xf numFmtId="0" fontId="46" fillId="0" borderId="0" xfId="7" applyFont="1" applyAlignment="1">
      <alignment horizontal="center" vertical="center"/>
    </xf>
    <xf numFmtId="0" fontId="46" fillId="0" borderId="55" xfId="7" applyFont="1" applyBorder="1" applyAlignment="1">
      <alignment horizontal="center" vertical="center"/>
    </xf>
    <xf numFmtId="0" fontId="0" fillId="0" borderId="14" xfId="7" applyFont="1" applyBorder="1" applyAlignment="1">
      <alignment horizontal="center" vertical="center"/>
    </xf>
    <xf numFmtId="0" fontId="0" fillId="0" borderId="0" xfId="7" applyFont="1" applyAlignment="1">
      <alignment horizontal="center" vertical="center"/>
    </xf>
    <xf numFmtId="0" fontId="8" fillId="0" borderId="0" xfId="7" applyFont="1" applyAlignment="1">
      <alignment horizontal="center" wrapText="1"/>
    </xf>
    <xf numFmtId="0" fontId="4" fillId="0" borderId="0" xfId="7" applyFont="1" applyAlignment="1">
      <alignment horizontal="center" vertical="center" wrapText="1"/>
    </xf>
    <xf numFmtId="0" fontId="51" fillId="2" borderId="1" xfId="7" applyFont="1" applyFill="1" applyBorder="1" applyAlignment="1">
      <alignment horizontal="center" vertical="center"/>
    </xf>
    <xf numFmtId="0" fontId="51" fillId="2" borderId="2" xfId="7" applyFont="1" applyFill="1" applyBorder="1" applyAlignment="1">
      <alignment horizontal="center" vertical="center"/>
    </xf>
    <xf numFmtId="0" fontId="51" fillId="2" borderId="17" xfId="7" applyFont="1" applyFill="1" applyBorder="1" applyAlignment="1">
      <alignment horizontal="center" vertical="center"/>
    </xf>
    <xf numFmtId="0" fontId="45" fillId="0" borderId="0" xfId="7" applyFont="1" applyAlignment="1">
      <alignment horizontal="center" vertical="center"/>
    </xf>
    <xf numFmtId="49" fontId="44" fillId="0" borderId="26" xfId="7" applyNumberFormat="1" applyFont="1" applyBorder="1" applyAlignment="1">
      <alignment horizontal="center" vertical="top" wrapText="1"/>
    </xf>
    <xf numFmtId="49" fontId="44" fillId="0" borderId="14" xfId="7" applyNumberFormat="1" applyFont="1" applyBorder="1" applyAlignment="1">
      <alignment horizontal="center" vertical="top" wrapText="1"/>
    </xf>
    <xf numFmtId="49" fontId="44" fillId="0" borderId="0" xfId="7" applyNumberFormat="1" applyFont="1" applyAlignment="1">
      <alignment horizontal="center" vertical="top" wrapText="1"/>
    </xf>
    <xf numFmtId="0" fontId="9" fillId="0" borderId="23" xfId="7" applyFont="1" applyBorder="1" applyAlignment="1">
      <alignment horizontal="center" vertical="top" wrapText="1"/>
    </xf>
    <xf numFmtId="0" fontId="9" fillId="0" borderId="3" xfId="7" applyFont="1" applyBorder="1" applyAlignment="1">
      <alignment horizontal="center" vertical="top" wrapText="1"/>
    </xf>
    <xf numFmtId="0" fontId="60" fillId="0" borderId="0" xfId="7" applyAlignment="1">
      <alignment horizontal="center" vertical="center"/>
    </xf>
    <xf numFmtId="0" fontId="6" fillId="3" borderId="21" xfId="7" applyFont="1" applyFill="1" applyBorder="1" applyAlignment="1">
      <alignment horizontal="center" vertical="center" wrapText="1"/>
    </xf>
    <xf numFmtId="0" fontId="6" fillId="3" borderId="26" xfId="7" applyFont="1" applyFill="1" applyBorder="1" applyAlignment="1">
      <alignment horizontal="center" vertical="center" wrapText="1"/>
    </xf>
    <xf numFmtId="0" fontId="6" fillId="3" borderId="22" xfId="7" applyFont="1" applyFill="1" applyBorder="1" applyAlignment="1">
      <alignment horizontal="center" vertical="center" wrapText="1"/>
    </xf>
    <xf numFmtId="0" fontId="6" fillId="3" borderId="23" xfId="7" applyFont="1" applyFill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24" xfId="7" applyFont="1" applyFill="1" applyBorder="1" applyAlignment="1">
      <alignment horizontal="center" vertical="center" wrapText="1"/>
    </xf>
    <xf numFmtId="0" fontId="6" fillId="3" borderId="40" xfId="7" applyFont="1" applyFill="1" applyBorder="1" applyAlignment="1">
      <alignment horizontal="left" vertical="center" wrapText="1"/>
    </xf>
    <xf numFmtId="0" fontId="6" fillId="3" borderId="41" xfId="7" applyFont="1" applyFill="1" applyBorder="1" applyAlignment="1">
      <alignment horizontal="left" vertical="center" wrapText="1"/>
    </xf>
    <xf numFmtId="0" fontId="47" fillId="3" borderId="40" xfId="7" applyFont="1" applyFill="1" applyBorder="1" applyAlignment="1">
      <alignment horizontal="center" vertical="center"/>
    </xf>
    <xf numFmtId="0" fontId="47" fillId="3" borderId="65" xfId="7" applyFont="1" applyFill="1" applyBorder="1" applyAlignment="1">
      <alignment horizontal="center" vertical="center"/>
    </xf>
    <xf numFmtId="4" fontId="34" fillId="0" borderId="5" xfId="7" applyNumberFormat="1" applyFont="1" applyBorder="1" applyAlignment="1">
      <alignment horizontal="center" vertical="center"/>
    </xf>
    <xf numFmtId="4" fontId="14" fillId="3" borderId="8" xfId="7" applyNumberFormat="1" applyFont="1" applyFill="1" applyBorder="1" applyAlignment="1">
      <alignment horizontal="center" vertical="center"/>
    </xf>
    <xf numFmtId="0" fontId="8" fillId="0" borderId="14" xfId="7" applyFont="1" applyBorder="1" applyAlignment="1">
      <alignment horizontal="center" wrapText="1"/>
    </xf>
    <xf numFmtId="0" fontId="4" fillId="0" borderId="14" xfId="7" applyFont="1" applyBorder="1" applyAlignment="1">
      <alignment horizontal="center" vertical="center" wrapText="1"/>
    </xf>
    <xf numFmtId="0" fontId="45" fillId="0" borderId="14" xfId="7" applyFont="1" applyBorder="1" applyAlignment="1">
      <alignment horizontal="center" vertical="center"/>
    </xf>
    <xf numFmtId="4" fontId="14" fillId="3" borderId="13" xfId="7" applyNumberFormat="1" applyFont="1" applyFill="1" applyBorder="1" applyAlignment="1">
      <alignment horizontal="center" vertical="center"/>
    </xf>
    <xf numFmtId="0" fontId="6" fillId="3" borderId="36" xfId="7" applyFont="1" applyFill="1" applyBorder="1" applyAlignment="1">
      <alignment horizontal="left" vertical="center" wrapText="1"/>
    </xf>
    <xf numFmtId="0" fontId="6" fillId="3" borderId="38" xfId="7" applyFont="1" applyFill="1" applyBorder="1" applyAlignment="1">
      <alignment horizontal="left" vertical="center" wrapText="1"/>
    </xf>
    <xf numFmtId="0" fontId="47" fillId="3" borderId="36" xfId="7" applyFont="1" applyFill="1" applyBorder="1" applyAlignment="1">
      <alignment horizontal="center" vertical="center"/>
    </xf>
    <xf numFmtId="0" fontId="47" fillId="3" borderId="44" xfId="7" applyFont="1" applyFill="1" applyBorder="1" applyAlignment="1">
      <alignment horizontal="center" vertical="center"/>
    </xf>
    <xf numFmtId="0" fontId="47" fillId="3" borderId="37" xfId="7" applyFont="1" applyFill="1" applyBorder="1" applyAlignment="1">
      <alignment horizontal="center" vertical="center"/>
    </xf>
    <xf numFmtId="0" fontId="0" fillId="0" borderId="67" xfId="7" applyFont="1" applyBorder="1" applyAlignment="1">
      <alignment horizontal="center" vertical="center"/>
    </xf>
    <xf numFmtId="0" fontId="0" fillId="0" borderId="65" xfId="7" applyFont="1" applyBorder="1" applyAlignment="1">
      <alignment horizontal="center" vertical="center"/>
    </xf>
    <xf numFmtId="0" fontId="0" fillId="0" borderId="41" xfId="7" applyFont="1" applyBorder="1" applyAlignment="1">
      <alignment horizontal="center" vertical="center"/>
    </xf>
    <xf numFmtId="4" fontId="34" fillId="0" borderId="8" xfId="7" applyNumberFormat="1" applyFont="1" applyBorder="1" applyAlignment="1">
      <alignment horizontal="center" vertical="center"/>
    </xf>
    <xf numFmtId="49" fontId="44" fillId="0" borderId="21" xfId="7" applyNumberFormat="1" applyFont="1" applyBorder="1" applyAlignment="1">
      <alignment horizontal="center" vertical="top" wrapText="1"/>
    </xf>
    <xf numFmtId="0" fontId="8" fillId="0" borderId="23" xfId="7" applyFont="1" applyBorder="1" applyAlignment="1">
      <alignment horizontal="center" vertical="top" wrapText="1"/>
    </xf>
    <xf numFmtId="0" fontId="8" fillId="0" borderId="3" xfId="7" applyFont="1" applyBorder="1" applyAlignment="1">
      <alignment horizontal="center" vertical="top" wrapText="1"/>
    </xf>
    <xf numFmtId="49" fontId="48" fillId="0" borderId="21" xfId="11" applyNumberFormat="1" applyFont="1" applyBorder="1" applyAlignment="1">
      <alignment horizontal="center" vertical="center" wrapText="1"/>
    </xf>
    <xf numFmtId="49" fontId="48" fillId="0" borderId="26" xfId="11" applyNumberFormat="1" applyFont="1" applyBorder="1" applyAlignment="1">
      <alignment horizontal="center" vertical="center" wrapText="1"/>
    </xf>
    <xf numFmtId="49" fontId="48" fillId="0" borderId="22" xfId="11" applyNumberFormat="1" applyFont="1" applyBorder="1" applyAlignment="1">
      <alignment horizontal="center" vertical="center" wrapText="1"/>
    </xf>
    <xf numFmtId="49" fontId="48" fillId="0" borderId="14" xfId="11" applyNumberFormat="1" applyFont="1" applyBorder="1" applyAlignment="1">
      <alignment horizontal="center" vertical="center" wrapText="1"/>
    </xf>
    <xf numFmtId="49" fontId="48" fillId="0" borderId="0" xfId="11" applyNumberFormat="1" applyFont="1" applyAlignment="1">
      <alignment horizontal="center" vertical="center" wrapText="1"/>
    </xf>
    <xf numFmtId="49" fontId="48" fillId="0" borderId="55" xfId="11" applyNumberFormat="1" applyFont="1" applyBorder="1" applyAlignment="1">
      <alignment horizontal="center" vertical="center" wrapText="1"/>
    </xf>
    <xf numFmtId="49" fontId="48" fillId="0" borderId="23" xfId="11" applyNumberFormat="1" applyFont="1" applyBorder="1" applyAlignment="1">
      <alignment horizontal="center" vertical="center" wrapText="1"/>
    </xf>
    <xf numFmtId="49" fontId="48" fillId="0" borderId="3" xfId="11" applyNumberFormat="1" applyFont="1" applyBorder="1" applyAlignment="1">
      <alignment horizontal="center" vertical="center" wrapText="1"/>
    </xf>
    <xf numFmtId="49" fontId="48" fillId="0" borderId="24" xfId="11" applyNumberFormat="1" applyFont="1" applyBorder="1" applyAlignment="1">
      <alignment horizontal="center" vertical="center" wrapText="1"/>
    </xf>
    <xf numFmtId="0" fontId="42" fillId="2" borderId="3" xfId="0" applyFont="1" applyFill="1" applyBorder="1" applyAlignment="1">
      <alignment horizontal="center" vertical="center"/>
    </xf>
    <xf numFmtId="0" fontId="42" fillId="2" borderId="24" xfId="0" applyFont="1" applyFill="1" applyBorder="1" applyAlignment="1">
      <alignment horizontal="right" vertical="center"/>
    </xf>
    <xf numFmtId="0" fontId="42" fillId="2" borderId="23" xfId="0" applyFont="1" applyFill="1" applyBorder="1" applyAlignment="1">
      <alignment horizontal="left" vertical="center"/>
    </xf>
    <xf numFmtId="0" fontId="42" fillId="2" borderId="3" xfId="0" applyFont="1" applyFill="1" applyBorder="1" applyAlignment="1">
      <alignment horizontal="left" vertical="center"/>
    </xf>
    <xf numFmtId="0" fontId="42" fillId="2" borderId="3" xfId="0" applyFont="1" applyFill="1" applyBorder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0" fontId="40" fillId="2" borderId="3" xfId="0" applyFont="1" applyFill="1" applyBorder="1" applyAlignment="1">
      <alignment horizontal="left" vertical="center" wrapText="1"/>
    </xf>
    <xf numFmtId="0" fontId="41" fillId="2" borderId="3" xfId="0" applyFont="1" applyFill="1" applyBorder="1" applyAlignment="1">
      <alignment horizontal="center" vertical="center"/>
    </xf>
    <xf numFmtId="0" fontId="41" fillId="2" borderId="24" xfId="0" applyFont="1" applyFill="1" applyBorder="1" applyAlignment="1">
      <alignment horizontal="center" vertical="center"/>
    </xf>
    <xf numFmtId="0" fontId="43" fillId="0" borderId="31" xfId="0" applyFont="1" applyBorder="1" applyAlignment="1">
      <alignment horizontal="left" vertical="center"/>
    </xf>
    <xf numFmtId="0" fontId="43" fillId="0" borderId="66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2" borderId="40" xfId="7" applyFont="1" applyFill="1" applyBorder="1" applyAlignment="1">
      <alignment horizontal="right" vertical="center"/>
    </xf>
    <xf numFmtId="0" fontId="9" fillId="2" borderId="65" xfId="7" applyFont="1" applyFill="1" applyBorder="1" applyAlignment="1">
      <alignment horizontal="right" vertical="center"/>
    </xf>
    <xf numFmtId="0" fontId="9" fillId="2" borderId="41" xfId="7" applyFont="1" applyFill="1" applyBorder="1" applyAlignment="1">
      <alignment horizontal="right" vertical="center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right" vertical="center"/>
    </xf>
    <xf numFmtId="0" fontId="6" fillId="3" borderId="8" xfId="0" applyFont="1" applyFill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0" fontId="34" fillId="0" borderId="42" xfId="0" applyFont="1" applyBorder="1" applyAlignment="1">
      <alignment horizontal="center" vertical="center" wrapText="1"/>
    </xf>
    <xf numFmtId="0" fontId="34" fillId="0" borderId="63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5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55" xfId="0" applyFont="1" applyFill="1" applyBorder="1" applyAlignment="1">
      <alignment horizontal="center" vertical="center"/>
    </xf>
    <xf numFmtId="0" fontId="6" fillId="3" borderId="51" xfId="0" applyFont="1" applyFill="1" applyBorder="1" applyAlignment="1">
      <alignment horizontal="left" vertical="center" wrapText="1"/>
    </xf>
    <xf numFmtId="0" fontId="6" fillId="3" borderId="60" xfId="0" applyFont="1" applyFill="1" applyBorder="1" applyAlignment="1">
      <alignment horizontal="left" vertical="center" wrapText="1"/>
    </xf>
    <xf numFmtId="0" fontId="6" fillId="3" borderId="57" xfId="0" applyFont="1" applyFill="1" applyBorder="1" applyAlignment="1">
      <alignment horizontal="left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27" fillId="3" borderId="14" xfId="7" applyFont="1" applyFill="1" applyBorder="1" applyAlignment="1">
      <alignment horizontal="left"/>
    </xf>
    <xf numFmtId="0" fontId="27" fillId="3" borderId="0" xfId="7" applyFont="1" applyFill="1" applyAlignment="1">
      <alignment horizontal="left"/>
    </xf>
    <xf numFmtId="0" fontId="31" fillId="0" borderId="0" xfId="7" applyFont="1" applyAlignment="1">
      <alignment horizontal="left"/>
    </xf>
    <xf numFmtId="0" fontId="28" fillId="0" borderId="0" xfId="7" applyFont="1" applyAlignment="1">
      <alignment horizontal="left"/>
    </xf>
    <xf numFmtId="0" fontId="28" fillId="0" borderId="58" xfId="7" applyFont="1" applyBorder="1" applyAlignment="1">
      <alignment horizontal="left"/>
    </xf>
    <xf numFmtId="0" fontId="60" fillId="0" borderId="23" xfId="7" applyBorder="1" applyAlignment="1">
      <alignment horizontal="left"/>
    </xf>
    <xf numFmtId="0" fontId="60" fillId="0" borderId="3" xfId="7" applyBorder="1" applyAlignment="1">
      <alignment horizontal="left"/>
    </xf>
    <xf numFmtId="4" fontId="4" fillId="2" borderId="1" xfId="7" applyNumberFormat="1" applyFont="1" applyFill="1" applyBorder="1" applyAlignment="1">
      <alignment horizontal="center" vertical="center"/>
    </xf>
    <xf numFmtId="4" fontId="4" fillId="2" borderId="17" xfId="7" applyNumberFormat="1" applyFont="1" applyFill="1" applyBorder="1" applyAlignment="1">
      <alignment horizontal="center" vertical="center"/>
    </xf>
    <xf numFmtId="0" fontId="27" fillId="3" borderId="14" xfId="7" applyFont="1" applyFill="1" applyBorder="1"/>
    <xf numFmtId="0" fontId="27" fillId="3" borderId="0" xfId="7" applyFont="1" applyFill="1"/>
    <xf numFmtId="0" fontId="27" fillId="3" borderId="58" xfId="7" applyFont="1" applyFill="1" applyBorder="1" applyAlignment="1">
      <alignment horizontal="left"/>
    </xf>
    <xf numFmtId="49" fontId="25" fillId="0" borderId="21" xfId="0" applyNumberFormat="1" applyFont="1" applyBorder="1" applyAlignment="1">
      <alignment horizontal="center" vertical="top" wrapText="1"/>
    </xf>
    <xf numFmtId="49" fontId="25" fillId="0" borderId="26" xfId="0" applyNumberFormat="1" applyFont="1" applyBorder="1" applyAlignment="1">
      <alignment horizontal="center" vertical="top" wrapText="1"/>
    </xf>
    <xf numFmtId="49" fontId="25" fillId="0" borderId="22" xfId="0" applyNumberFormat="1" applyFont="1" applyBorder="1" applyAlignment="1">
      <alignment horizontal="center" vertical="top" wrapText="1"/>
    </xf>
    <xf numFmtId="49" fontId="25" fillId="0" borderId="14" xfId="0" applyNumberFormat="1" applyFont="1" applyBorder="1" applyAlignment="1">
      <alignment horizontal="center" vertical="top" wrapText="1"/>
    </xf>
    <xf numFmtId="49" fontId="25" fillId="0" borderId="0" xfId="0" applyNumberFormat="1" applyFont="1" applyAlignment="1">
      <alignment horizontal="center" vertical="top" wrapText="1"/>
    </xf>
    <xf numFmtId="49" fontId="25" fillId="0" borderId="55" xfId="0" applyNumberFormat="1" applyFont="1" applyBorder="1" applyAlignment="1">
      <alignment horizontal="center" vertical="top" wrapText="1"/>
    </xf>
    <xf numFmtId="0" fontId="27" fillId="3" borderId="14" xfId="7" applyFont="1" applyFill="1" applyBorder="1" applyAlignment="1">
      <alignment horizontal="left" vertical="center"/>
    </xf>
    <xf numFmtId="0" fontId="27" fillId="3" borderId="0" xfId="7" applyFont="1" applyFill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11" fillId="2" borderId="21" xfId="7" applyFont="1" applyFill="1" applyBorder="1" applyAlignment="1">
      <alignment horizontal="center" vertical="center" wrapText="1"/>
    </xf>
    <xf numFmtId="0" fontId="11" fillId="2" borderId="26" xfId="7" applyFont="1" applyFill="1" applyBorder="1" applyAlignment="1">
      <alignment horizontal="center" vertical="center" wrapText="1"/>
    </xf>
    <xf numFmtId="0" fontId="11" fillId="2" borderId="22" xfId="7" applyFont="1" applyFill="1" applyBorder="1" applyAlignment="1">
      <alignment horizontal="center" vertical="center" wrapText="1"/>
    </xf>
    <xf numFmtId="0" fontId="11" fillId="2" borderId="23" xfId="7" applyFont="1" applyFill="1" applyBorder="1" applyAlignment="1">
      <alignment horizontal="center" vertical="center" wrapText="1"/>
    </xf>
    <xf numFmtId="0" fontId="11" fillId="2" borderId="3" xfId="7" applyFont="1" applyFill="1" applyBorder="1" applyAlignment="1">
      <alignment horizontal="center" vertical="center" wrapText="1"/>
    </xf>
    <xf numFmtId="0" fontId="11" fillId="2" borderId="24" xfId="7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left" vertical="center" wrapText="1"/>
    </xf>
    <xf numFmtId="0" fontId="14" fillId="3" borderId="26" xfId="0" applyFont="1" applyFill="1" applyBorder="1" applyAlignment="1">
      <alignment horizontal="left" vertical="center" wrapText="1"/>
    </xf>
    <xf numFmtId="0" fontId="14" fillId="3" borderId="22" xfId="0" applyFont="1" applyFill="1" applyBorder="1" applyAlignment="1">
      <alignment horizontal="left" vertical="center" wrapText="1"/>
    </xf>
    <xf numFmtId="0" fontId="14" fillId="3" borderId="14" xfId="0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left" vertical="center" wrapText="1"/>
    </xf>
    <xf numFmtId="0" fontId="14" fillId="3" borderId="55" xfId="0" applyFont="1" applyFill="1" applyBorder="1" applyAlignment="1">
      <alignment horizontal="left" vertical="center" wrapText="1"/>
    </xf>
    <xf numFmtId="0" fontId="14" fillId="3" borderId="23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14" fillId="3" borderId="24" xfId="0" applyFont="1" applyFill="1" applyBorder="1" applyAlignment="1">
      <alignment horizontal="left" vertical="center" wrapText="1"/>
    </xf>
    <xf numFmtId="0" fontId="8" fillId="2" borderId="21" xfId="14" applyFont="1" applyFill="1" applyBorder="1" applyAlignment="1">
      <alignment horizontal="center" vertical="center"/>
    </xf>
    <xf numFmtId="0" fontId="8" fillId="2" borderId="26" xfId="14" applyFont="1" applyFill="1" applyBorder="1" applyAlignment="1">
      <alignment horizontal="center" vertical="center"/>
    </xf>
    <xf numFmtId="0" fontId="8" fillId="2" borderId="22" xfId="14" applyFont="1" applyFill="1" applyBorder="1" applyAlignment="1">
      <alignment horizontal="center" vertical="center"/>
    </xf>
    <xf numFmtId="0" fontId="8" fillId="2" borderId="23" xfId="14" applyFont="1" applyFill="1" applyBorder="1" applyAlignment="1">
      <alignment horizontal="center" vertical="center"/>
    </xf>
    <xf numFmtId="0" fontId="8" fillId="2" borderId="3" xfId="14" applyFont="1" applyFill="1" applyBorder="1" applyAlignment="1">
      <alignment horizontal="center" vertical="center"/>
    </xf>
    <xf numFmtId="0" fontId="8" fillId="2" borderId="24" xfId="14" applyFont="1" applyFill="1" applyBorder="1" applyAlignment="1">
      <alignment horizontal="center" vertical="center"/>
    </xf>
    <xf numFmtId="0" fontId="5" fillId="3" borderId="21" xfId="14" applyFont="1" applyFill="1" applyBorder="1" applyAlignment="1">
      <alignment horizontal="center" vertical="center"/>
    </xf>
    <xf numFmtId="0" fontId="5" fillId="3" borderId="54" xfId="14" applyFont="1" applyFill="1" applyBorder="1" applyAlignment="1">
      <alignment horizontal="center" vertical="center"/>
    </xf>
    <xf numFmtId="0" fontId="5" fillId="3" borderId="23" xfId="14" applyFont="1" applyFill="1" applyBorder="1" applyAlignment="1">
      <alignment horizontal="center" vertical="center"/>
    </xf>
    <xf numFmtId="0" fontId="5" fillId="3" borderId="48" xfId="14" applyFont="1" applyFill="1" applyBorder="1" applyAlignment="1">
      <alignment horizontal="center" vertical="center"/>
    </xf>
    <xf numFmtId="0" fontId="23" fillId="0" borderId="45" xfId="14" applyFont="1" applyBorder="1" applyAlignment="1">
      <alignment horizontal="center" vertical="center" wrapText="1"/>
    </xf>
    <xf numFmtId="0" fontId="23" fillId="0" borderId="46" xfId="14" applyFont="1" applyBorder="1" applyAlignment="1">
      <alignment horizontal="center" vertical="center" wrapText="1"/>
    </xf>
    <xf numFmtId="0" fontId="23" fillId="0" borderId="47" xfId="14" applyFont="1" applyBorder="1" applyAlignment="1">
      <alignment horizontal="center" vertical="center" wrapText="1"/>
    </xf>
    <xf numFmtId="0" fontId="23" fillId="0" borderId="48" xfId="14" applyFont="1" applyBorder="1" applyAlignment="1">
      <alignment horizontal="center" vertical="center" wrapText="1"/>
    </xf>
    <xf numFmtId="49" fontId="22" fillId="3" borderId="21" xfId="14" applyNumberFormat="1" applyFont="1" applyFill="1" applyBorder="1" applyAlignment="1">
      <alignment horizontal="center" vertical="center" wrapText="1"/>
    </xf>
    <xf numFmtId="49" fontId="22" fillId="3" borderId="26" xfId="14" applyNumberFormat="1" applyFont="1" applyFill="1" applyBorder="1" applyAlignment="1">
      <alignment horizontal="center" vertical="center" wrapText="1"/>
    </xf>
    <xf numFmtId="49" fontId="22" fillId="3" borderId="22" xfId="14" applyNumberFormat="1" applyFont="1" applyFill="1" applyBorder="1" applyAlignment="1">
      <alignment horizontal="center" vertical="center" wrapText="1"/>
    </xf>
    <xf numFmtId="49" fontId="22" fillId="3" borderId="30" xfId="14" applyNumberFormat="1" applyFont="1" applyFill="1" applyBorder="1" applyAlignment="1">
      <alignment horizontal="center" vertical="center" wrapText="1"/>
    </xf>
    <xf numFmtId="49" fontId="22" fillId="3" borderId="31" xfId="14" applyNumberFormat="1" applyFont="1" applyFill="1" applyBorder="1" applyAlignment="1">
      <alignment horizontal="center" vertical="center" wrapText="1"/>
    </xf>
    <xf numFmtId="49" fontId="22" fillId="3" borderId="56" xfId="14" applyNumberFormat="1" applyFont="1" applyFill="1" applyBorder="1" applyAlignment="1">
      <alignment horizontal="center" vertical="center" wrapText="1"/>
    </xf>
    <xf numFmtId="49" fontId="12" fillId="4" borderId="21" xfId="14" applyNumberFormat="1" applyFont="1" applyFill="1" applyBorder="1" applyAlignment="1">
      <alignment horizontal="center" vertical="center" wrapText="1"/>
    </xf>
    <xf numFmtId="49" fontId="12" fillId="4" borderId="26" xfId="14" applyNumberFormat="1" applyFont="1" applyFill="1" applyBorder="1" applyAlignment="1">
      <alignment horizontal="center" vertical="center" wrapText="1"/>
    </xf>
    <xf numFmtId="49" fontId="12" fillId="4" borderId="22" xfId="14" applyNumberFormat="1" applyFont="1" applyFill="1" applyBorder="1" applyAlignment="1">
      <alignment horizontal="center" vertical="center" wrapText="1"/>
    </xf>
    <xf numFmtId="49" fontId="12" fillId="4" borderId="30" xfId="14" applyNumberFormat="1" applyFont="1" applyFill="1" applyBorder="1" applyAlignment="1">
      <alignment horizontal="center" vertical="center" wrapText="1"/>
    </xf>
    <xf numFmtId="49" fontId="12" fillId="4" borderId="31" xfId="14" applyNumberFormat="1" applyFont="1" applyFill="1" applyBorder="1" applyAlignment="1">
      <alignment horizontal="center" vertical="center" wrapText="1"/>
    </xf>
    <xf numFmtId="49" fontId="12" fillId="4" borderId="56" xfId="14" applyNumberFormat="1" applyFont="1" applyFill="1" applyBorder="1" applyAlignment="1">
      <alignment horizontal="center" vertical="center" wrapText="1"/>
    </xf>
    <xf numFmtId="0" fontId="0" fillId="0" borderId="21" xfId="14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12" fillId="0" borderId="27" xfId="14" applyFont="1" applyBorder="1" applyAlignment="1">
      <alignment horizontal="center" vertical="center"/>
    </xf>
    <xf numFmtId="0" fontId="12" fillId="0" borderId="11" xfId="14" applyFont="1" applyBorder="1" applyAlignment="1">
      <alignment horizontal="center" vertical="center"/>
    </xf>
    <xf numFmtId="0" fontId="0" fillId="0" borderId="6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 vertical="center"/>
    </xf>
    <xf numFmtId="0" fontId="12" fillId="0" borderId="28" xfId="14" applyFont="1" applyBorder="1" applyAlignment="1">
      <alignment horizontal="center" vertical="center"/>
    </xf>
    <xf numFmtId="0" fontId="12" fillId="0" borderId="12" xfId="14" applyFont="1" applyBorder="1" applyAlignment="1">
      <alignment horizontal="center" vertical="center"/>
    </xf>
    <xf numFmtId="0" fontId="0" fillId="0" borderId="7" xfId="14" applyFont="1" applyBorder="1" applyAlignment="1">
      <alignment horizontal="left" vertical="center"/>
    </xf>
    <xf numFmtId="0" fontId="0" fillId="0" borderId="10" xfId="14" applyFont="1" applyBorder="1" applyAlignment="1">
      <alignment horizontal="left" vertical="center"/>
    </xf>
    <xf numFmtId="0" fontId="12" fillId="0" borderId="29" xfId="14" applyFont="1" applyBorder="1" applyAlignment="1">
      <alignment horizontal="center" vertical="center"/>
    </xf>
    <xf numFmtId="0" fontId="12" fillId="0" borderId="32" xfId="14" applyFont="1" applyBorder="1" applyAlignment="1">
      <alignment horizontal="center" vertical="center"/>
    </xf>
    <xf numFmtId="10" fontId="0" fillId="8" borderId="49" xfId="22" applyNumberFormat="1" applyFont="1" applyFill="1" applyBorder="1" applyAlignment="1" applyProtection="1">
      <alignment horizontal="center" vertical="center"/>
      <protection locked="0"/>
    </xf>
    <xf numFmtId="10" fontId="0" fillId="8" borderId="50" xfId="22" applyNumberFormat="1" applyFont="1" applyFill="1" applyBorder="1" applyAlignment="1" applyProtection="1">
      <alignment horizontal="center" vertical="center"/>
      <protection locked="0"/>
    </xf>
    <xf numFmtId="0" fontId="0" fillId="0" borderId="1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8" fillId="0" borderId="36" xfId="14" applyFont="1" applyBorder="1" applyAlignment="1">
      <alignment horizontal="justify" vertical="center" wrapText="1"/>
    </xf>
    <xf numFmtId="0" fontId="8" fillId="0" borderId="37" xfId="14" applyFont="1" applyBorder="1" applyAlignment="1">
      <alignment horizontal="justify" vertical="center" wrapText="1"/>
    </xf>
    <xf numFmtId="49" fontId="22" fillId="3" borderId="43" xfId="14" applyNumberFormat="1" applyFont="1" applyFill="1" applyBorder="1" applyAlignment="1">
      <alignment horizontal="center" vertical="center" wrapText="1"/>
    </xf>
    <xf numFmtId="49" fontId="22" fillId="3" borderId="44" xfId="14" applyNumberFormat="1" applyFont="1" applyFill="1" applyBorder="1" applyAlignment="1">
      <alignment horizontal="center" vertical="center" wrapText="1"/>
    </xf>
    <xf numFmtId="49" fontId="22" fillId="3" borderId="37" xfId="14" applyNumberFormat="1" applyFont="1" applyFill="1" applyBorder="1" applyAlignment="1">
      <alignment horizontal="center" vertical="center" wrapText="1"/>
    </xf>
    <xf numFmtId="10" fontId="0" fillId="0" borderId="52" xfId="22" applyNumberFormat="1" applyFont="1" applyBorder="1" applyAlignment="1">
      <alignment horizontal="center" vertical="center"/>
    </xf>
    <xf numFmtId="10" fontId="0" fillId="0" borderId="53" xfId="22" applyNumberFormat="1" applyFont="1" applyBorder="1" applyAlignment="1">
      <alignment horizontal="center" vertical="center"/>
    </xf>
    <xf numFmtId="0" fontId="8" fillId="0" borderId="42" xfId="14" applyFont="1" applyBorder="1" applyAlignment="1">
      <alignment horizontal="right" vertical="center"/>
    </xf>
    <xf numFmtId="0" fontId="8" fillId="0" borderId="35" xfId="14" applyFont="1" applyBorder="1" applyAlignment="1">
      <alignment horizontal="right" vertical="center"/>
    </xf>
    <xf numFmtId="10" fontId="9" fillId="0" borderId="6" xfId="22" applyNumberFormat="1" applyFont="1" applyBorder="1" applyAlignment="1">
      <alignment horizontal="center" vertical="center" wrapText="1"/>
    </xf>
    <xf numFmtId="10" fontId="9" fillId="0" borderId="11" xfId="22" applyNumberFormat="1" applyFont="1" applyBorder="1" applyAlignment="1">
      <alignment horizontal="center" vertical="center" wrapText="1"/>
    </xf>
    <xf numFmtId="0" fontId="23" fillId="0" borderId="49" xfId="14" applyFont="1" applyBorder="1" applyAlignment="1">
      <alignment horizontal="center" vertical="center" wrapText="1"/>
    </xf>
    <xf numFmtId="0" fontId="23" fillId="0" borderId="32" xfId="14" applyFont="1" applyBorder="1" applyAlignment="1">
      <alignment horizontal="center" vertical="center" wrapText="1"/>
    </xf>
    <xf numFmtId="10" fontId="0" fillId="0" borderId="40" xfId="22" applyNumberFormat="1" applyFont="1" applyBorder="1" applyAlignment="1">
      <alignment horizontal="center" vertical="center"/>
    </xf>
    <xf numFmtId="10" fontId="0" fillId="0" borderId="41" xfId="22" applyNumberFormat="1" applyFont="1" applyBorder="1" applyAlignment="1">
      <alignment horizontal="center" vertical="center"/>
    </xf>
    <xf numFmtId="10" fontId="0" fillId="0" borderId="34" xfId="22" applyNumberFormat="1" applyFont="1" applyBorder="1" applyAlignment="1">
      <alignment horizontal="center" vertical="center"/>
    </xf>
    <xf numFmtId="10" fontId="0" fillId="0" borderId="35" xfId="22" applyNumberFormat="1" applyFont="1" applyBorder="1" applyAlignment="1">
      <alignment horizontal="center" vertical="center"/>
    </xf>
    <xf numFmtId="10" fontId="0" fillId="0" borderId="36" xfId="22" applyNumberFormat="1" applyFont="1" applyBorder="1" applyAlignment="1">
      <alignment horizontal="center" vertical="center"/>
    </xf>
    <xf numFmtId="10" fontId="0" fillId="0" borderId="38" xfId="22" applyNumberFormat="1" applyFont="1" applyBorder="1" applyAlignment="1">
      <alignment horizontal="center" vertical="center"/>
    </xf>
    <xf numFmtId="0" fontId="21" fillId="0" borderId="36" xfId="14" applyFont="1" applyBorder="1" applyAlignment="1">
      <alignment horizontal="center"/>
    </xf>
    <xf numFmtId="0" fontId="21" fillId="0" borderId="38" xfId="14" applyFont="1" applyBorder="1" applyAlignment="1">
      <alignment horizontal="center"/>
    </xf>
    <xf numFmtId="0" fontId="60" fillId="0" borderId="3" xfId="8" applyBorder="1" applyAlignment="1">
      <alignment horizontal="center"/>
    </xf>
    <xf numFmtId="49" fontId="14" fillId="3" borderId="1" xfId="14" applyNumberFormat="1" applyFont="1" applyFill="1" applyBorder="1" applyAlignment="1">
      <alignment horizontal="center" vertical="center"/>
    </xf>
    <xf numFmtId="49" fontId="14" fillId="3" borderId="2" xfId="14" applyNumberFormat="1" applyFont="1" applyFill="1" applyBorder="1" applyAlignment="1">
      <alignment horizontal="center" vertical="center"/>
    </xf>
    <xf numFmtId="49" fontId="14" fillId="3" borderId="17" xfId="14" applyNumberFormat="1" applyFont="1" applyFill="1" applyBorder="1" applyAlignment="1">
      <alignment horizontal="center" vertical="center"/>
    </xf>
    <xf numFmtId="0" fontId="12" fillId="7" borderId="34" xfId="14" applyFont="1" applyFill="1" applyBorder="1" applyAlignment="1">
      <alignment horizontal="center" vertical="center"/>
    </xf>
    <xf numFmtId="0" fontId="12" fillId="7" borderId="35" xfId="14" applyFont="1" applyFill="1" applyBorder="1" applyAlignment="1">
      <alignment horizontal="center" vertical="center"/>
    </xf>
    <xf numFmtId="0" fontId="0" fillId="0" borderId="1" xfId="14" applyFont="1" applyBorder="1" applyAlignment="1">
      <alignment vertical="center"/>
    </xf>
    <xf numFmtId="0" fontId="0" fillId="0" borderId="2" xfId="14" applyFont="1" applyBorder="1" applyAlignment="1">
      <alignment vertical="center"/>
    </xf>
    <xf numFmtId="0" fontId="16" fillId="3" borderId="1" xfId="8" applyFont="1" applyFill="1" applyBorder="1" applyAlignment="1">
      <alignment horizontal="center" vertical="center"/>
    </xf>
    <xf numFmtId="0" fontId="16" fillId="3" borderId="2" xfId="8" applyFont="1" applyFill="1" applyBorder="1" applyAlignment="1">
      <alignment horizontal="center" vertical="center"/>
    </xf>
    <xf numFmtId="0" fontId="16" fillId="3" borderId="17" xfId="8" applyFont="1" applyFill="1" applyBorder="1" applyAlignment="1">
      <alignment horizontal="center" vertical="center"/>
    </xf>
    <xf numFmtId="0" fontId="17" fillId="0" borderId="14" xfId="8" applyFont="1" applyBorder="1" applyAlignment="1">
      <alignment horizontal="center" vertical="center"/>
    </xf>
    <xf numFmtId="0" fontId="17" fillId="0" borderId="0" xfId="8" applyFont="1" applyAlignment="1">
      <alignment horizontal="center" vertical="center"/>
    </xf>
    <xf numFmtId="0" fontId="17" fillId="0" borderId="55" xfId="8" applyFont="1" applyBorder="1" applyAlignment="1">
      <alignment horizontal="center" vertical="center"/>
    </xf>
    <xf numFmtId="0" fontId="18" fillId="2" borderId="1" xfId="8" applyFont="1" applyFill="1" applyBorder="1" applyAlignment="1">
      <alignment horizontal="center" vertical="center" wrapText="1"/>
    </xf>
    <xf numFmtId="0" fontId="18" fillId="2" borderId="2" xfId="8" applyFont="1" applyFill="1" applyBorder="1" applyAlignment="1">
      <alignment horizontal="center" vertical="center" wrapText="1"/>
    </xf>
    <xf numFmtId="0" fontId="18" fillId="2" borderId="17" xfId="8" applyFont="1" applyFill="1" applyBorder="1" applyAlignment="1">
      <alignment horizontal="center" vertical="center" wrapText="1"/>
    </xf>
    <xf numFmtId="0" fontId="10" fillId="0" borderId="3" xfId="8" applyFont="1" applyBorder="1" applyAlignment="1">
      <alignment horizontal="left" vertical="center" wrapText="1"/>
    </xf>
    <xf numFmtId="0" fontId="10" fillId="0" borderId="24" xfId="8" applyFont="1" applyBorder="1" applyAlignment="1">
      <alignment horizontal="left" vertical="center" wrapText="1"/>
    </xf>
    <xf numFmtId="49" fontId="19" fillId="3" borderId="1" xfId="14" applyNumberFormat="1" applyFont="1" applyFill="1" applyBorder="1" applyAlignment="1">
      <alignment horizontal="center" vertical="center"/>
    </xf>
    <xf numFmtId="49" fontId="19" fillId="3" borderId="2" xfId="14" applyNumberFormat="1" applyFont="1" applyFill="1" applyBorder="1" applyAlignment="1">
      <alignment horizontal="center" vertical="center"/>
    </xf>
    <xf numFmtId="49" fontId="19" fillId="3" borderId="17" xfId="14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right" vertical="center" wrapText="1"/>
    </xf>
    <xf numFmtId="0" fontId="8" fillId="2" borderId="17" xfId="0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8" fillId="6" borderId="2" xfId="0" applyFont="1" applyFill="1" applyBorder="1" applyAlignment="1">
      <alignment horizontal="justify" vertical="center" wrapText="1"/>
    </xf>
    <xf numFmtId="0" fontId="8" fillId="6" borderId="17" xfId="0" applyFont="1" applyFill="1" applyBorder="1" applyAlignment="1">
      <alignment horizontal="justify"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14" fillId="3" borderId="17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8" fillId="4" borderId="7" xfId="7" applyFont="1" applyFill="1" applyBorder="1" applyAlignment="1">
      <alignment horizontal="left" vertical="center" wrapText="1"/>
    </xf>
    <xf numFmtId="0" fontId="8" fillId="4" borderId="10" xfId="7" applyFont="1" applyFill="1" applyBorder="1" applyAlignment="1">
      <alignment horizontal="left" vertical="center" wrapText="1"/>
    </xf>
    <xf numFmtId="0" fontId="8" fillId="2" borderId="7" xfId="7" applyFont="1" applyFill="1" applyBorder="1" applyAlignment="1">
      <alignment horizontal="left" vertical="center" wrapText="1"/>
    </xf>
    <xf numFmtId="0" fontId="8" fillId="2" borderId="10" xfId="7" applyFont="1" applyFill="1" applyBorder="1" applyAlignment="1">
      <alignment horizontal="left" vertical="center" wrapText="1"/>
    </xf>
    <xf numFmtId="0" fontId="8" fillId="2" borderId="12" xfId="7" applyFont="1" applyFill="1" applyBorder="1" applyAlignment="1">
      <alignment horizontal="left" vertical="center" wrapText="1"/>
    </xf>
    <xf numFmtId="0" fontId="8" fillId="4" borderId="12" xfId="7" applyFont="1" applyFill="1" applyBorder="1" applyAlignment="1">
      <alignment horizontal="left" vertical="center" wrapText="1"/>
    </xf>
    <xf numFmtId="0" fontId="10" fillId="0" borderId="14" xfId="7" applyFont="1" applyBorder="1" applyAlignment="1">
      <alignment horizontal="center" vertical="center"/>
    </xf>
    <xf numFmtId="0" fontId="10" fillId="0" borderId="0" xfId="7" applyFont="1" applyAlignment="1">
      <alignment horizontal="center" vertical="center"/>
    </xf>
    <xf numFmtId="0" fontId="10" fillId="0" borderId="15" xfId="7" applyFont="1" applyBorder="1" applyAlignment="1">
      <alignment horizontal="center" vertical="center"/>
    </xf>
    <xf numFmtId="0" fontId="6" fillId="3" borderId="5" xfId="7" applyFont="1" applyFill="1" applyBorder="1" applyAlignment="1">
      <alignment horizontal="left" vertical="center" wrapText="1"/>
    </xf>
    <xf numFmtId="0" fontId="8" fillId="4" borderId="6" xfId="7" applyFont="1" applyFill="1" applyBorder="1" applyAlignment="1">
      <alignment horizontal="center" vertical="center"/>
    </xf>
    <xf numFmtId="0" fontId="8" fillId="4" borderId="11" xfId="7" applyFont="1" applyFill="1" applyBorder="1" applyAlignment="1">
      <alignment horizontal="center" vertical="center"/>
    </xf>
    <xf numFmtId="0" fontId="9" fillId="4" borderId="7" xfId="7" applyFont="1" applyFill="1" applyBorder="1" applyAlignment="1">
      <alignment horizontal="center" vertical="center" wrapText="1"/>
    </xf>
    <xf numFmtId="0" fontId="9" fillId="4" borderId="12" xfId="7" applyFont="1" applyFill="1" applyBorder="1" applyAlignment="1">
      <alignment horizontal="center" vertical="center" wrapText="1"/>
    </xf>
    <xf numFmtId="0" fontId="9" fillId="2" borderId="7" xfId="7" applyFont="1" applyFill="1" applyBorder="1" applyAlignment="1">
      <alignment horizontal="center" vertical="center" wrapText="1"/>
    </xf>
    <xf numFmtId="0" fontId="9" fillId="2" borderId="10" xfId="7" applyFont="1" applyFill="1" applyBorder="1" applyAlignment="1">
      <alignment horizontal="center" vertical="center" wrapText="1"/>
    </xf>
    <xf numFmtId="0" fontId="9" fillId="4" borderId="10" xfId="7" applyFont="1" applyFill="1" applyBorder="1" applyAlignment="1">
      <alignment horizontal="center" vertical="center" wrapText="1"/>
    </xf>
    <xf numFmtId="0" fontId="9" fillId="2" borderId="12" xfId="7" applyFont="1" applyFill="1" applyBorder="1" applyAlignment="1">
      <alignment horizontal="center" vertical="center" wrapText="1"/>
    </xf>
    <xf numFmtId="0" fontId="8" fillId="2" borderId="6" xfId="7" applyFont="1" applyFill="1" applyBorder="1" applyAlignment="1">
      <alignment horizontal="center" vertical="center"/>
    </xf>
    <xf numFmtId="0" fontId="8" fillId="2" borderId="9" xfId="7" applyFont="1" applyFill="1" applyBorder="1" applyAlignment="1">
      <alignment horizontal="center" vertical="center"/>
    </xf>
    <xf numFmtId="0" fontId="8" fillId="4" borderId="9" xfId="7" applyFont="1" applyFill="1" applyBorder="1" applyAlignment="1">
      <alignment horizontal="center" vertical="center"/>
    </xf>
    <xf numFmtId="0" fontId="8" fillId="2" borderId="11" xfId="7" applyFont="1" applyFill="1" applyBorder="1" applyAlignment="1">
      <alignment horizontal="center" vertical="center"/>
    </xf>
    <xf numFmtId="0" fontId="3" fillId="2" borderId="1" xfId="7" applyFont="1" applyFill="1" applyBorder="1" applyAlignment="1">
      <alignment horizontal="center" vertical="center" wrapText="1"/>
    </xf>
    <xf numFmtId="0" fontId="3" fillId="2" borderId="2" xfId="7" applyFont="1" applyFill="1" applyBorder="1" applyAlignment="1">
      <alignment horizontal="center" vertical="center" wrapText="1"/>
    </xf>
    <xf numFmtId="0" fontId="3" fillId="2" borderId="17" xfId="7" applyFont="1" applyFill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17" xfId="7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 wrapText="1"/>
    </xf>
    <xf numFmtId="0" fontId="5" fillId="3" borderId="1" xfId="7" applyFont="1" applyFill="1" applyBorder="1" applyAlignment="1">
      <alignment horizontal="center" vertical="center" wrapText="1"/>
    </xf>
    <xf numFmtId="0" fontId="5" fillId="3" borderId="2" xfId="7" applyFont="1" applyFill="1" applyBorder="1" applyAlignment="1">
      <alignment horizontal="center" vertical="center" wrapText="1"/>
    </xf>
    <xf numFmtId="0" fontId="5" fillId="3" borderId="17" xfId="7" applyFont="1" applyFill="1" applyBorder="1" applyAlignment="1">
      <alignment horizontal="center" vertical="center" wrapText="1"/>
    </xf>
  </cellXfs>
  <cellStyles count="23">
    <cellStyle name="Excel Built-in Normal" xfId="4" xr:uid="{00000000-0005-0000-0000-000031000000}"/>
    <cellStyle name="Moeda" xfId="2" builtinId="4"/>
    <cellStyle name="Moeda 2" xfId="5" xr:uid="{00000000-0005-0000-0000-000032000000}"/>
    <cellStyle name="Moeda 3" xfId="6" xr:uid="{00000000-0005-0000-0000-000033000000}"/>
    <cellStyle name="Normal" xfId="0" builtinId="0"/>
    <cellStyle name="Normal 2" xfId="7" xr:uid="{00000000-0005-0000-0000-000034000000}"/>
    <cellStyle name="Normal 2 2" xfId="8" xr:uid="{00000000-0005-0000-0000-000035000000}"/>
    <cellStyle name="Normal 2 2 2" xfId="9" xr:uid="{00000000-0005-0000-0000-000036000000}"/>
    <cellStyle name="Normal 3" xfId="10" xr:uid="{00000000-0005-0000-0000-000037000000}"/>
    <cellStyle name="Normal 4" xfId="11" xr:uid="{00000000-0005-0000-0000-000038000000}"/>
    <cellStyle name="Normal 5" xfId="12" xr:uid="{00000000-0005-0000-0000-000039000000}"/>
    <cellStyle name="Normal 6" xfId="13" xr:uid="{00000000-0005-0000-0000-00003A000000}"/>
    <cellStyle name="Normal 6 2" xfId="14" xr:uid="{00000000-0005-0000-0000-00003B000000}"/>
    <cellStyle name="Normal_Pesquisa no referencial 10 de maio de 2013" xfId="15" xr:uid="{00000000-0005-0000-0000-00003C000000}"/>
    <cellStyle name="Porcentagem" xfId="3" builtinId="5"/>
    <cellStyle name="Separador de milhares 10" xfId="16" xr:uid="{00000000-0005-0000-0000-00003D000000}"/>
    <cellStyle name="Separador de milhares 2" xfId="17" xr:uid="{00000000-0005-0000-0000-00003E000000}"/>
    <cellStyle name="Separador de milhares 2 2" xfId="18" xr:uid="{00000000-0005-0000-0000-00003F000000}"/>
    <cellStyle name="Vírgula" xfId="1" builtinId="3"/>
    <cellStyle name="Vírgula 2" xfId="19" xr:uid="{00000000-0005-0000-0000-000040000000}"/>
    <cellStyle name="Vírgula 3" xfId="20" xr:uid="{00000000-0005-0000-0000-000041000000}"/>
    <cellStyle name="Vírgula 6" xfId="21" xr:uid="{00000000-0005-0000-0000-000042000000}"/>
    <cellStyle name="Vírgula 6 2" xfId="22" xr:uid="{00000000-0005-0000-0000-000043000000}"/>
  </cellStyles>
  <dxfs count="6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00"/>
      <color rgb="FF00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31530</xdr:colOff>
      <xdr:row>1</xdr:row>
      <xdr:rowOff>38099</xdr:rowOff>
    </xdr:from>
    <xdr:to>
      <xdr:col>3</xdr:col>
      <xdr:colOff>337500</xdr:colOff>
      <xdr:row>2</xdr:row>
      <xdr:rowOff>152549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31140" y="208915"/>
          <a:ext cx="1515745" cy="3244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2955</xdr:colOff>
      <xdr:row>1</xdr:row>
      <xdr:rowOff>9525</xdr:rowOff>
    </xdr:from>
    <xdr:to>
      <xdr:col>3</xdr:col>
      <xdr:colOff>305852</xdr:colOff>
      <xdr:row>2</xdr:row>
      <xdr:rowOff>123318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02565" y="180975"/>
          <a:ext cx="1512570" cy="323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74543</xdr:colOff>
      <xdr:row>0</xdr:row>
      <xdr:rowOff>41413</xdr:rowOff>
    </xdr:from>
    <xdr:to>
      <xdr:col>1</xdr:col>
      <xdr:colOff>1202220</xdr:colOff>
      <xdr:row>2</xdr:row>
      <xdr:rowOff>119684</xdr:rowOff>
    </xdr:to>
    <xdr:pic>
      <xdr:nvPicPr>
        <xdr:cNvPr id="3" name="Objec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295" y="41275"/>
          <a:ext cx="2108835" cy="40195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47625</xdr:rowOff>
    </xdr:from>
    <xdr:to>
      <xdr:col>2</xdr:col>
      <xdr:colOff>561975</xdr:colOff>
      <xdr:row>2</xdr:row>
      <xdr:rowOff>133350</xdr:rowOff>
    </xdr:to>
    <xdr:pic>
      <xdr:nvPicPr>
        <xdr:cNvPr id="4" name="Object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47625"/>
          <a:ext cx="2105025" cy="4095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</xdr:row>
      <xdr:rowOff>38100</xdr:rowOff>
    </xdr:from>
    <xdr:to>
      <xdr:col>6</xdr:col>
      <xdr:colOff>1281061</xdr:colOff>
      <xdr:row>1</xdr:row>
      <xdr:rowOff>578100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7743825" y="209550"/>
          <a:ext cx="2519045" cy="53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</xdr:row>
      <xdr:rowOff>57150</xdr:rowOff>
    </xdr:from>
    <xdr:to>
      <xdr:col>3</xdr:col>
      <xdr:colOff>447675</xdr:colOff>
      <xdr:row>4</xdr:row>
      <xdr:rowOff>19050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47015" y="228600"/>
          <a:ext cx="217233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38101</xdr:colOff>
      <xdr:row>0</xdr:row>
      <xdr:rowOff>114300</xdr:rowOff>
    </xdr:from>
    <xdr:to>
      <xdr:col>3</xdr:col>
      <xdr:colOff>1205781</xdr:colOff>
      <xdr:row>2</xdr:row>
      <xdr:rowOff>42450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619625" y="114300"/>
          <a:ext cx="116713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789209</xdr:colOff>
      <xdr:row>0</xdr:row>
      <xdr:rowOff>54429</xdr:rowOff>
    </xdr:from>
    <xdr:to>
      <xdr:col>17</xdr:col>
      <xdr:colOff>1513109</xdr:colOff>
      <xdr:row>0</xdr:row>
      <xdr:rowOff>557893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7314545" y="53975"/>
          <a:ext cx="1847850" cy="5035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31"/>
  <sheetViews>
    <sheetView tabSelected="1" workbookViewId="0">
      <selection activeCell="H9" sqref="H9"/>
    </sheetView>
  </sheetViews>
  <sheetFormatPr defaultColWidth="9.140625" defaultRowHeight="12.75"/>
  <cols>
    <col min="1" max="1" width="3" style="107" customWidth="1"/>
    <col min="2" max="2" width="6.5703125" style="107" customWidth="1"/>
    <col min="3" max="3" width="11.5703125" style="107" customWidth="1"/>
    <col min="4" max="4" width="62.5703125" style="107" customWidth="1"/>
    <col min="5" max="5" width="7" style="107" customWidth="1"/>
    <col min="6" max="7" width="13.85546875" style="109" hidden="1" customWidth="1"/>
    <col min="8" max="10" width="15.42578125" style="109" customWidth="1"/>
    <col min="11" max="11" width="20.42578125" style="109" customWidth="1"/>
    <col min="12" max="12" width="33.28515625" style="205" customWidth="1"/>
    <col min="13" max="13" width="10.140625" style="4" customWidth="1"/>
    <col min="14" max="14" width="13.42578125" style="107" customWidth="1"/>
    <col min="15" max="15" width="13.28515625" style="107" customWidth="1"/>
    <col min="16" max="16" width="6.42578125" style="107" customWidth="1"/>
    <col min="17" max="17" width="15.85546875" style="107" customWidth="1"/>
    <col min="18" max="16384" width="9.140625" style="107"/>
  </cols>
  <sheetData>
    <row r="2" spans="2:17" s="3" customFormat="1" ht="16.5" customHeight="1">
      <c r="B2" s="257"/>
      <c r="C2" s="258"/>
      <c r="D2" s="324" t="s">
        <v>0</v>
      </c>
      <c r="E2" s="324"/>
      <c r="F2" s="324"/>
      <c r="G2" s="324"/>
      <c r="H2" s="324"/>
      <c r="I2" s="324"/>
      <c r="J2" s="324"/>
      <c r="K2" s="296" t="s">
        <v>1</v>
      </c>
      <c r="L2" s="297"/>
      <c r="M2" s="298"/>
    </row>
    <row r="3" spans="2:17" s="3" customFormat="1" ht="16.5" customHeight="1">
      <c r="B3" s="325" t="s">
        <v>2</v>
      </c>
      <c r="C3" s="326"/>
      <c r="D3" s="326"/>
      <c r="E3" s="326"/>
      <c r="F3" s="326"/>
      <c r="G3" s="326"/>
      <c r="H3" s="326"/>
      <c r="I3" s="326"/>
      <c r="J3" s="326"/>
      <c r="K3" s="299"/>
      <c r="L3" s="300"/>
      <c r="M3" s="301"/>
    </row>
    <row r="4" spans="2:17" s="3" customFormat="1" ht="13.5" customHeight="1">
      <c r="B4" s="325" t="s">
        <v>3</v>
      </c>
      <c r="C4" s="326"/>
      <c r="D4" s="326"/>
      <c r="E4" s="326"/>
      <c r="F4" s="326"/>
      <c r="G4" s="326"/>
      <c r="H4" s="326"/>
      <c r="I4" s="326"/>
      <c r="J4" s="326"/>
      <c r="K4" s="299"/>
      <c r="L4" s="300"/>
      <c r="M4" s="301"/>
    </row>
    <row r="5" spans="2:17" ht="13.5" customHeight="1">
      <c r="B5" s="327" t="s">
        <v>4</v>
      </c>
      <c r="C5" s="328"/>
      <c r="D5" s="328"/>
      <c r="E5" s="328"/>
      <c r="F5" s="328"/>
      <c r="G5" s="328"/>
      <c r="H5" s="328"/>
      <c r="I5" s="328"/>
      <c r="J5" s="328"/>
      <c r="K5" s="302"/>
      <c r="L5" s="303"/>
      <c r="M5" s="304"/>
    </row>
    <row r="6" spans="2:17">
      <c r="B6" s="206"/>
      <c r="C6" s="207"/>
      <c r="D6" s="208"/>
      <c r="E6" s="208"/>
      <c r="F6" s="208"/>
      <c r="G6" s="208"/>
      <c r="H6" s="208"/>
      <c r="I6" s="208"/>
      <c r="J6" s="208"/>
      <c r="K6" s="329"/>
      <c r="L6" s="329"/>
      <c r="M6" s="329"/>
    </row>
    <row r="7" spans="2:17" ht="35.25" customHeight="1">
      <c r="B7" s="305" t="s">
        <v>5</v>
      </c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7"/>
    </row>
    <row r="8" spans="2:17">
      <c r="B8" s="308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10"/>
    </row>
    <row r="9" spans="2:17" ht="12.75" customHeight="1">
      <c r="B9" s="318" t="s">
        <v>6</v>
      </c>
      <c r="C9" s="318"/>
      <c r="D9" s="318"/>
      <c r="E9" s="209" t="s">
        <v>7</v>
      </c>
      <c r="F9" s="210">
        <f>21.5/100</f>
        <v>0.215</v>
      </c>
      <c r="G9" s="209"/>
      <c r="H9" s="259">
        <f>ROUND(BDI!D36,4)</f>
        <v>0.215</v>
      </c>
      <c r="K9" s="318" t="s">
        <v>320</v>
      </c>
      <c r="L9" s="318"/>
      <c r="M9" s="237">
        <f>114.64/100</f>
        <v>1.1464000000000001</v>
      </c>
    </row>
    <row r="10" spans="2:17" ht="15.75"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</row>
    <row r="11" spans="2:17" ht="18">
      <c r="B11" s="320" t="s">
        <v>8</v>
      </c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2"/>
      <c r="P11" s="238"/>
    </row>
    <row r="12" spans="2:17" ht="18"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P12" s="238"/>
    </row>
    <row r="13" spans="2:17" ht="31.5" customHeight="1">
      <c r="B13" s="211" t="s">
        <v>9</v>
      </c>
      <c r="C13" s="311" t="s">
        <v>10</v>
      </c>
      <c r="D13" s="312"/>
      <c r="E13" s="211" t="s">
        <v>11</v>
      </c>
      <c r="F13" s="260" t="s">
        <v>12</v>
      </c>
      <c r="G13" s="260" t="s">
        <v>13</v>
      </c>
      <c r="H13" s="213" t="s">
        <v>14</v>
      </c>
      <c r="I13" s="213" t="s">
        <v>15</v>
      </c>
      <c r="J13" s="213" t="s">
        <v>16</v>
      </c>
      <c r="K13" s="213" t="s">
        <v>17</v>
      </c>
      <c r="L13" s="212" t="s">
        <v>18</v>
      </c>
      <c r="M13" s="211" t="s">
        <v>19</v>
      </c>
      <c r="Q13" s="239"/>
    </row>
    <row r="14" spans="2:17">
      <c r="B14" s="313"/>
      <c r="C14" s="314"/>
      <c r="D14" s="314"/>
      <c r="E14" s="314"/>
      <c r="F14" s="314"/>
      <c r="G14" s="314"/>
      <c r="H14" s="314"/>
      <c r="I14" s="314"/>
      <c r="J14" s="314"/>
      <c r="K14" s="314"/>
      <c r="L14" s="315"/>
    </row>
    <row r="15" spans="2:17" ht="20.100000000000001" customHeight="1">
      <c r="B15" s="211">
        <v>1</v>
      </c>
      <c r="C15" s="284" t="s">
        <v>20</v>
      </c>
      <c r="D15" s="285"/>
      <c r="E15" s="286"/>
      <c r="F15" s="287"/>
      <c r="G15" s="287"/>
      <c r="H15" s="287"/>
      <c r="I15" s="287"/>
      <c r="J15" s="287"/>
      <c r="K15" s="287"/>
      <c r="L15" s="288"/>
      <c r="M15" s="211" t="s">
        <v>19</v>
      </c>
      <c r="P15" s="238"/>
    </row>
    <row r="16" spans="2:17" s="203" customFormat="1" ht="29.25" customHeight="1">
      <c r="B16" s="261" t="s">
        <v>21</v>
      </c>
      <c r="C16" s="262" t="str">
        <f>'COMPOSIÇÕES - SICRO'!A152</f>
        <v>SICRO 5914639</v>
      </c>
      <c r="D16" s="263" t="s">
        <v>22</v>
      </c>
      <c r="E16" s="261" t="str">
        <f>'COMPOSIÇÕES - SICRO'!I151</f>
        <v>tkm</v>
      </c>
      <c r="F16" s="264">
        <f>'COMP. MÓD. 1.000 M³'!F15</f>
        <v>1578.15</v>
      </c>
      <c r="G16" s="265">
        <v>250</v>
      </c>
      <c r="H16" s="266">
        <f>F16*G16</f>
        <v>394537.5</v>
      </c>
      <c r="I16" s="266">
        <f>'COMPOSIÇÕES - SICRO'!I173</f>
        <v>0.7</v>
      </c>
      <c r="J16" s="274">
        <f>ROUND(H16*I16,2)</f>
        <v>276176.25</v>
      </c>
      <c r="K16" s="275">
        <f>ROUND(I16*(1+$H$9),2)</f>
        <v>0.85</v>
      </c>
      <c r="L16" s="276">
        <f>ROUND(H16*K16,2)</f>
        <v>335356.88</v>
      </c>
      <c r="M16" s="269">
        <f t="shared" ref="M16:M22" si="0">((L16/$L$31))</f>
        <v>7.5234156657201359E-2</v>
      </c>
    </row>
    <row r="17" spans="2:15" s="203" customFormat="1" ht="29.25" customHeight="1">
      <c r="B17" s="261" t="s">
        <v>23</v>
      </c>
      <c r="C17" s="262" t="str">
        <f>'COMPOSIÇÕES - SICRO'!A179</f>
        <v>SICRO 5914640</v>
      </c>
      <c r="D17" s="263" t="s">
        <v>24</v>
      </c>
      <c r="E17" s="261" t="str">
        <f>'COMPOSIÇÕES - SICRO'!I178</f>
        <v>tkm</v>
      </c>
      <c r="F17" s="267">
        <f>'COMP. MÓD. 1.000 M³'!F16</f>
        <v>676.35</v>
      </c>
      <c r="G17" s="268">
        <f>G16</f>
        <v>250</v>
      </c>
      <c r="H17" s="266">
        <f t="shared" ref="H17:H21" si="1">F17*G17</f>
        <v>169087.5</v>
      </c>
      <c r="I17" s="266">
        <f>'COMPOSIÇÕES - SICRO'!I200</f>
        <v>0.56999999999999995</v>
      </c>
      <c r="J17" s="274">
        <f>ROUND(H17*I17,2)</f>
        <v>96379.88</v>
      </c>
      <c r="K17" s="275">
        <f>ROUND(I17*(1+$H$9),2)</f>
        <v>0.69</v>
      </c>
      <c r="L17" s="276">
        <f t="shared" ref="L17:L21" si="2">ROUND(H17*K17,2)</f>
        <v>116670.38</v>
      </c>
      <c r="M17" s="269">
        <f t="shared" si="0"/>
        <v>2.6173900610523368E-2</v>
      </c>
    </row>
    <row r="18" spans="2:15" s="203" customFormat="1" ht="30.75" customHeight="1">
      <c r="B18" s="261" t="s">
        <v>25</v>
      </c>
      <c r="C18" s="262" t="str">
        <f>'COMPOSIÇÕES SINAPI'!A15</f>
        <v>CPU-01</v>
      </c>
      <c r="D18" s="263" t="str">
        <f>'COMPOSIÇÕES SINAPI'!D15</f>
        <v>ADMINISTRAÇÃO LOCAL</v>
      </c>
      <c r="E18" s="261" t="s">
        <v>19</v>
      </c>
      <c r="F18" s="267">
        <f>'COMP. MÓD. 1.000 M³'!F17</f>
        <v>1</v>
      </c>
      <c r="G18" s="268">
        <v>250</v>
      </c>
      <c r="H18" s="269">
        <v>1</v>
      </c>
      <c r="I18" s="277">
        <f>'COMPOSIÇÕES SINAPI'!H18</f>
        <v>962.48</v>
      </c>
      <c r="J18" s="274">
        <f>ROUND(H18*I18,2)</f>
        <v>962.48</v>
      </c>
      <c r="K18" s="275">
        <f>ROUND(I18*(1+$H$9),2)</f>
        <v>1169.4100000000001</v>
      </c>
      <c r="L18" s="276">
        <f t="shared" si="2"/>
        <v>1169.4100000000001</v>
      </c>
      <c r="M18" s="269">
        <f t="shared" si="0"/>
        <v>2.6234611658033626E-4</v>
      </c>
    </row>
    <row r="19" spans="2:15" s="203" customFormat="1" ht="32.25" customHeight="1">
      <c r="B19" s="261" t="s">
        <v>26</v>
      </c>
      <c r="C19" s="262" t="str">
        <f>'COMPOSIÇÕES SINAPI'!A20</f>
        <v>CPU-02</v>
      </c>
      <c r="D19" s="263" t="str">
        <f>'COMPOSIÇÕES SINAPI'!D20</f>
        <v>PLACA DE OBRA EM CHAPA DE AÇO GALVANIZADO</v>
      </c>
      <c r="E19" s="261" t="str">
        <f>'COMPOSIÇÕES SINAPI'!E20</f>
        <v>M²</v>
      </c>
      <c r="F19" s="267">
        <f>'COMP. MÓD. 1.000 M³'!F18</f>
        <v>0.64000000000000012</v>
      </c>
      <c r="G19" s="268">
        <v>250</v>
      </c>
      <c r="H19" s="266">
        <f t="shared" si="1"/>
        <v>160.00000000000003</v>
      </c>
      <c r="I19" s="266">
        <f>'COMPOSIÇÕES SINAPI'!H31</f>
        <v>450.28000000000003</v>
      </c>
      <c r="J19" s="274">
        <f t="shared" ref="J19:J24" si="3">ROUND(H19*I19,2)</f>
        <v>72044.800000000003</v>
      </c>
      <c r="K19" s="275">
        <f t="shared" ref="K19:K21" si="4">ROUND(I19*(1+$H$9),2)</f>
        <v>547.09</v>
      </c>
      <c r="L19" s="276">
        <f t="shared" si="2"/>
        <v>87534.399999999994</v>
      </c>
      <c r="M19" s="269">
        <f t="shared" si="0"/>
        <v>1.9637517985300095E-2</v>
      </c>
    </row>
    <row r="20" spans="2:15" s="203" customFormat="1" ht="28.5" customHeight="1">
      <c r="B20" s="261" t="s">
        <v>27</v>
      </c>
      <c r="C20" s="262" t="str">
        <f>'COMPOSIÇÕES - SICRO'!A152</f>
        <v>SICRO 5914639</v>
      </c>
      <c r="D20" s="263" t="s">
        <v>28</v>
      </c>
      <c r="E20" s="261" t="str">
        <f>'COMPOSIÇÕES - SICRO'!I151</f>
        <v>tkm</v>
      </c>
      <c r="F20" s="267">
        <f>'COMP. MÓD. 1.000 M³'!F19</f>
        <v>1578.15</v>
      </c>
      <c r="G20" s="268">
        <v>250</v>
      </c>
      <c r="H20" s="266">
        <f t="shared" si="1"/>
        <v>394537.5</v>
      </c>
      <c r="I20" s="266">
        <f>'COMPOSIÇÕES - SICRO'!I173</f>
        <v>0.7</v>
      </c>
      <c r="J20" s="274">
        <f t="shared" si="3"/>
        <v>276176.25</v>
      </c>
      <c r="K20" s="275">
        <f t="shared" si="4"/>
        <v>0.85</v>
      </c>
      <c r="L20" s="276">
        <f t="shared" si="2"/>
        <v>335356.88</v>
      </c>
      <c r="M20" s="269">
        <f t="shared" si="0"/>
        <v>7.5234156657201359E-2</v>
      </c>
    </row>
    <row r="21" spans="2:15" s="203" customFormat="1" ht="28.5" customHeight="1">
      <c r="B21" s="261" t="s">
        <v>29</v>
      </c>
      <c r="C21" s="262" t="str">
        <f>'COMPOSIÇÕES - SICRO'!A179</f>
        <v>SICRO 5914640</v>
      </c>
      <c r="D21" s="263" t="s">
        <v>30</v>
      </c>
      <c r="E21" s="270" t="str">
        <f>'COMPOSIÇÕES - SICRO'!I178</f>
        <v>tkm</v>
      </c>
      <c r="F21" s="271">
        <f>'COMP. MÓD. 1.000 M³'!F20</f>
        <v>676.35</v>
      </c>
      <c r="G21" s="272">
        <v>250</v>
      </c>
      <c r="H21" s="273">
        <f t="shared" si="1"/>
        <v>169087.5</v>
      </c>
      <c r="I21" s="273">
        <f>'COMPOSIÇÕES - SICRO'!I200</f>
        <v>0.56999999999999995</v>
      </c>
      <c r="J21" s="274">
        <f t="shared" si="3"/>
        <v>96379.88</v>
      </c>
      <c r="K21" s="275">
        <f t="shared" si="4"/>
        <v>0.69</v>
      </c>
      <c r="L21" s="276">
        <f t="shared" si="2"/>
        <v>116670.38</v>
      </c>
      <c r="M21" s="269">
        <f t="shared" si="0"/>
        <v>2.6173900610523368E-2</v>
      </c>
    </row>
    <row r="22" spans="2:15" s="203" customFormat="1" ht="20.100000000000001" customHeight="1">
      <c r="B22" s="316"/>
      <c r="C22" s="317"/>
      <c r="D22" s="317"/>
      <c r="E22" s="289" t="s">
        <v>31</v>
      </c>
      <c r="F22" s="290"/>
      <c r="G22" s="290"/>
      <c r="H22" s="290"/>
      <c r="I22" s="291"/>
      <c r="J22" s="291"/>
      <c r="K22" s="292"/>
      <c r="L22" s="278">
        <f>SUM(L16:L21)</f>
        <v>992758.33</v>
      </c>
      <c r="M22" s="279">
        <f t="shared" si="0"/>
        <v>0.22271597863732986</v>
      </c>
      <c r="O22" s="245"/>
    </row>
    <row r="23" spans="2:15" s="204" customFormat="1" ht="45.75" customHeight="1">
      <c r="B23" s="211">
        <v>2</v>
      </c>
      <c r="C23" s="284" t="s">
        <v>32</v>
      </c>
      <c r="D23" s="285"/>
      <c r="E23" s="286"/>
      <c r="F23" s="287"/>
      <c r="G23" s="287"/>
      <c r="H23" s="287"/>
      <c r="I23" s="287"/>
      <c r="J23" s="287"/>
      <c r="K23" s="287"/>
      <c r="L23" s="288"/>
      <c r="M23" s="280" t="s">
        <v>19</v>
      </c>
    </row>
    <row r="24" spans="2:15" s="203" customFormat="1" ht="45.75" customHeight="1">
      <c r="B24" s="261" t="s">
        <v>33</v>
      </c>
      <c r="C24" s="262" t="str">
        <f>'COMPOSIÇÕES - SICRO'!A96</f>
        <v>CODEVASF (adaptado de SICRO 5502985)</v>
      </c>
      <c r="D24" s="263" t="s">
        <v>34</v>
      </c>
      <c r="E24" s="261" t="str">
        <f>'COMPOSIÇÕES - SICRO'!I95</f>
        <v>m²</v>
      </c>
      <c r="F24" s="264">
        <f>'COMP. MÓD. 1.000 M³'!F23</f>
        <v>500</v>
      </c>
      <c r="G24" s="265">
        <v>250</v>
      </c>
      <c r="H24" s="266">
        <f t="shared" ref="H24:H28" si="5">F24*G24</f>
        <v>125000</v>
      </c>
      <c r="I24" s="266">
        <f>'COMPOSIÇÕES - SICRO'!I118</f>
        <v>0.45</v>
      </c>
      <c r="J24" s="274">
        <f t="shared" si="3"/>
        <v>56250</v>
      </c>
      <c r="K24" s="275">
        <f>ROUND(I24*(1+$H$9),2)</f>
        <v>0.55000000000000004</v>
      </c>
      <c r="L24" s="276">
        <f t="shared" ref="L24:L28" si="6">ROUND(H24*K24,2)</f>
        <v>68750</v>
      </c>
      <c r="M24" s="269">
        <f t="shared" ref="M24:M29" si="7">((L24/$L$31))</f>
        <v>1.5423414811655552E-2</v>
      </c>
      <c r="O24" s="247"/>
    </row>
    <row r="25" spans="2:15" s="203" customFormat="1" ht="45.75" customHeight="1">
      <c r="B25" s="261" t="s">
        <v>35</v>
      </c>
      <c r="C25" s="262" t="str">
        <f>'COMPOSIÇÕES - SICRO'!A67</f>
        <v>SICRO 5502114</v>
      </c>
      <c r="D25" s="263" t="s">
        <v>36</v>
      </c>
      <c r="E25" s="261" t="str">
        <f>'COMPOSIÇÕES - SICRO'!I66</f>
        <v>m³</v>
      </c>
      <c r="F25" s="267">
        <f>'COMP. MÓD. 1.000 M³'!F24</f>
        <v>600</v>
      </c>
      <c r="G25" s="268">
        <v>250</v>
      </c>
      <c r="H25" s="266">
        <f t="shared" si="5"/>
        <v>150000</v>
      </c>
      <c r="I25" s="266">
        <f>'COMPOSIÇÕES - SICRO'!I90</f>
        <v>8.07</v>
      </c>
      <c r="J25" s="274">
        <f>ROUND(H25*I25,2)</f>
        <v>1210500</v>
      </c>
      <c r="K25" s="275">
        <f>ROUND(I25*(1+$H$9),2)</f>
        <v>9.81</v>
      </c>
      <c r="L25" s="276">
        <f t="shared" si="6"/>
        <v>1471500</v>
      </c>
      <c r="M25" s="269">
        <f t="shared" si="7"/>
        <v>0.33011716211419845</v>
      </c>
      <c r="O25" s="247"/>
    </row>
    <row r="26" spans="2:15" s="203" customFormat="1" ht="45.75" customHeight="1">
      <c r="B26" s="261" t="s">
        <v>37</v>
      </c>
      <c r="C26" s="262" t="str">
        <f>'COMPOSIÇÕES - SICRO'!A124</f>
        <v>CODEVASF (adaptado de SICRO 4413942)</v>
      </c>
      <c r="D26" s="263" t="s">
        <v>38</v>
      </c>
      <c r="E26" s="261" t="str">
        <f>'COMPOSIÇÕES - SICRO'!I123</f>
        <v>m³</v>
      </c>
      <c r="F26" s="267">
        <f>'COMP. MÓD. 1.000 M³'!F25</f>
        <v>600</v>
      </c>
      <c r="G26" s="268">
        <v>250</v>
      </c>
      <c r="H26" s="266">
        <f t="shared" si="5"/>
        <v>150000</v>
      </c>
      <c r="I26" s="266">
        <f>'COMPOSIÇÕES - SICRO'!I146</f>
        <v>1.59</v>
      </c>
      <c r="J26" s="274">
        <f>ROUND(H26*I26,2)</f>
        <v>238500</v>
      </c>
      <c r="K26" s="275">
        <f>ROUND(I26*(1+$H$9),2)</f>
        <v>1.93</v>
      </c>
      <c r="L26" s="276">
        <f t="shared" si="6"/>
        <v>289500</v>
      </c>
      <c r="M26" s="269">
        <f t="shared" si="7"/>
        <v>6.4946597643262285E-2</v>
      </c>
      <c r="O26" s="247"/>
    </row>
    <row r="27" spans="2:15" s="203" customFormat="1" ht="31.5" customHeight="1">
      <c r="B27" s="261" t="s">
        <v>39</v>
      </c>
      <c r="C27" s="262" t="str">
        <f>'COMPOSIÇÕES - SICRO'!A11</f>
        <v>SICRO 5501706</v>
      </c>
      <c r="D27" s="263" t="s">
        <v>40</v>
      </c>
      <c r="E27" s="261" t="str">
        <f>'COMPOSIÇÕES - SICRO'!I10</f>
        <v>m³</v>
      </c>
      <c r="F27" s="267">
        <f>'COMP. MÓD. 1.000 M³'!F26</f>
        <v>400</v>
      </c>
      <c r="G27" s="268">
        <v>250</v>
      </c>
      <c r="H27" s="266">
        <f t="shared" si="5"/>
        <v>100000</v>
      </c>
      <c r="I27" s="266">
        <f>'COMPOSIÇÕES - SICRO'!I33</f>
        <v>7.03</v>
      </c>
      <c r="J27" s="274">
        <f>ROUND(H27*I27,2)</f>
        <v>703000</v>
      </c>
      <c r="K27" s="275">
        <f>ROUND(I27*(1+$H$9),2)</f>
        <v>8.5399999999999991</v>
      </c>
      <c r="L27" s="276">
        <f t="shared" si="6"/>
        <v>854000</v>
      </c>
      <c r="M27" s="269">
        <f t="shared" si="7"/>
        <v>0.19158685453314678</v>
      </c>
      <c r="O27" s="247"/>
    </row>
    <row r="28" spans="2:15" s="203" customFormat="1" ht="31.5" customHeight="1">
      <c r="B28" s="261" t="s">
        <v>41</v>
      </c>
      <c r="C28" s="262" t="str">
        <f>'COMPOSIÇÕES - SICRO'!A39</f>
        <v>SICRO 4805754</v>
      </c>
      <c r="D28" s="263" t="s">
        <v>42</v>
      </c>
      <c r="E28" s="261" t="str">
        <f>'COMPOSIÇÕES - SICRO'!I38</f>
        <v>m³</v>
      </c>
      <c r="F28" s="267">
        <f>'COMP. MÓD. 1.000 M³'!F27</f>
        <v>400</v>
      </c>
      <c r="G28" s="268">
        <v>250</v>
      </c>
      <c r="H28" s="266">
        <f t="shared" si="5"/>
        <v>100000</v>
      </c>
      <c r="I28" s="266">
        <f>'COMPOSIÇÕES - SICRO'!I61</f>
        <v>6.43</v>
      </c>
      <c r="J28" s="274">
        <f>ROUND(H28*I28,2)</f>
        <v>643000</v>
      </c>
      <c r="K28" s="275">
        <f>ROUND(I28*(1+$H$9),2)</f>
        <v>7.81</v>
      </c>
      <c r="L28" s="276">
        <f t="shared" si="6"/>
        <v>781000</v>
      </c>
      <c r="M28" s="269">
        <f t="shared" si="7"/>
        <v>0.17520999226040707</v>
      </c>
      <c r="O28" s="247"/>
    </row>
    <row r="29" spans="2:15" s="203" customFormat="1" ht="18.75" customHeight="1">
      <c r="B29" s="1"/>
      <c r="C29" s="230"/>
      <c r="D29" s="230"/>
      <c r="E29" s="289" t="s">
        <v>43</v>
      </c>
      <c r="F29" s="290"/>
      <c r="G29" s="290"/>
      <c r="H29" s="290"/>
      <c r="I29" s="291"/>
      <c r="J29" s="291"/>
      <c r="K29" s="292"/>
      <c r="L29" s="278">
        <f>SUM(L24:L28)</f>
        <v>3464750</v>
      </c>
      <c r="M29" s="279">
        <f t="shared" si="7"/>
        <v>0.77728402136267005</v>
      </c>
    </row>
    <row r="30" spans="2:15" s="203" customFormat="1" ht="7.5" customHeigh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281"/>
    </row>
    <row r="31" spans="2:15" s="203" customFormat="1" ht="19.5" customHeight="1">
      <c r="B31" s="293" t="s">
        <v>44</v>
      </c>
      <c r="C31" s="294"/>
      <c r="D31" s="294"/>
      <c r="E31" s="294"/>
      <c r="F31" s="294"/>
      <c r="G31" s="294"/>
      <c r="H31" s="294"/>
      <c r="I31" s="294"/>
      <c r="J31" s="294"/>
      <c r="K31" s="295"/>
      <c r="L31" s="282">
        <f>ROUND((SUM(L22,L29)),4)</f>
        <v>4457508.33</v>
      </c>
      <c r="M31" s="283">
        <f>((L31/$L$31))</f>
        <v>1</v>
      </c>
    </row>
  </sheetData>
  <mergeCells count="22">
    <mergeCell ref="B12:M12"/>
    <mergeCell ref="D2:J2"/>
    <mergeCell ref="B3:J3"/>
    <mergeCell ref="B4:J4"/>
    <mergeCell ref="B5:J5"/>
    <mergeCell ref="K6:M6"/>
    <mergeCell ref="C23:D23"/>
    <mergeCell ref="E23:L23"/>
    <mergeCell ref="E29:K29"/>
    <mergeCell ref="B31:K31"/>
    <mergeCell ref="K2:M5"/>
    <mergeCell ref="B7:M8"/>
    <mergeCell ref="C13:D13"/>
    <mergeCell ref="B14:L14"/>
    <mergeCell ref="C15:D15"/>
    <mergeCell ref="E15:L15"/>
    <mergeCell ref="B22:D22"/>
    <mergeCell ref="E22:K22"/>
    <mergeCell ref="B9:D9"/>
    <mergeCell ref="K9:L9"/>
    <mergeCell ref="B10:M10"/>
    <mergeCell ref="B11:M11"/>
  </mergeCells>
  <conditionalFormatting sqref="B15">
    <cfRule type="expression" dxfId="67" priority="14" stopIfTrue="1">
      <formula>RIGHT(B15,2)="00"</formula>
    </cfRule>
  </conditionalFormatting>
  <conditionalFormatting sqref="L16">
    <cfRule type="expression" dxfId="66" priority="16" stopIfTrue="1">
      <formula>OR(RIGHT($B16,2)="00",LEFT($D16,5)="Total")</formula>
    </cfRule>
  </conditionalFormatting>
  <conditionalFormatting sqref="L18">
    <cfRule type="expression" dxfId="65" priority="1" stopIfTrue="1">
      <formula>OR(RIGHT($B18,2)="00",LEFT($D18,5)="Total")</formula>
    </cfRule>
  </conditionalFormatting>
  <conditionalFormatting sqref="B19">
    <cfRule type="expression" dxfId="64" priority="6" stopIfTrue="1">
      <formula>RIGHT(B19,2)="00"</formula>
    </cfRule>
  </conditionalFormatting>
  <conditionalFormatting sqref="D19">
    <cfRule type="expression" dxfId="63" priority="5" stopIfTrue="1">
      <formula>OR(RIGHT($B19,2)="00",$B19="")</formula>
    </cfRule>
  </conditionalFormatting>
  <conditionalFormatting sqref="B20">
    <cfRule type="expression" dxfId="62" priority="11" stopIfTrue="1">
      <formula>RIGHT(B20,2)="00"</formula>
    </cfRule>
  </conditionalFormatting>
  <conditionalFormatting sqref="B21">
    <cfRule type="expression" dxfId="61" priority="10" stopIfTrue="1">
      <formula>RIGHT(B21,2)="00"</formula>
    </cfRule>
  </conditionalFormatting>
  <conditionalFormatting sqref="L22">
    <cfRule type="expression" dxfId="60" priority="35" stopIfTrue="1">
      <formula>OR(RIGHT(#REF!,2)="00",LEFT($D22,5)="Total")</formula>
    </cfRule>
    <cfRule type="expression" dxfId="59" priority="37" stopIfTrue="1">
      <formula>OR(RIGHT($B22,2)="00",LEFT($D22,5)="Total")</formula>
    </cfRule>
  </conditionalFormatting>
  <conditionalFormatting sqref="L29">
    <cfRule type="expression" dxfId="58" priority="18" stopIfTrue="1">
      <formula>OR(RIGHT(#REF!,2)="00",LEFT($D29,5)="Total")</formula>
    </cfRule>
    <cfRule type="expression" dxfId="57" priority="19" stopIfTrue="1">
      <formula>OR(RIGHT($B29,2)="00",LEFT($D29,5)="Total")</formula>
    </cfRule>
    <cfRule type="expression" dxfId="56" priority="31" stopIfTrue="1">
      <formula>OR(RIGHT(#REF!,2)="00",LEFT($D29,5)="Total")</formula>
    </cfRule>
    <cfRule type="expression" dxfId="55" priority="32" stopIfTrue="1">
      <formula>OR(RIGHT(#REF!,2)="00",LEFT($D29,5)="Total")</formula>
    </cfRule>
    <cfRule type="expression" dxfId="54" priority="33" stopIfTrue="1">
      <formula>OR(RIGHT($B29,2)="00",LEFT($D29,5)="Total")</formula>
    </cfRule>
    <cfRule type="expression" dxfId="53" priority="34" stopIfTrue="1">
      <formula>OR(RIGHT($B29,2)="00",LEFT($D29,5)="Total")</formula>
    </cfRule>
    <cfRule type="expression" dxfId="52" priority="36" stopIfTrue="1">
      <formula>OR(RIGHT($B29,2)="00",LEFT($D29,5)="Total")</formula>
    </cfRule>
    <cfRule type="expression" dxfId="51" priority="39" stopIfTrue="1">
      <formula>OR(RIGHT($B29,2)="00",LEFT($D29,5)="Total")</formula>
    </cfRule>
  </conditionalFormatting>
  <conditionalFormatting sqref="L31">
    <cfRule type="expression" dxfId="50" priority="68" stopIfTrue="1">
      <formula>OR(RIGHT(#REF!,2)="00",LEFT(#REF!,5)="Total")</formula>
    </cfRule>
    <cfRule type="expression" dxfId="49" priority="69" stopIfTrue="1">
      <formula>OR(RIGHT(#REF!,2)="00",LEFT(#REF!,5)="Total")</formula>
    </cfRule>
  </conditionalFormatting>
  <conditionalFormatting sqref="B16:B18">
    <cfRule type="expression" dxfId="48" priority="15" stopIfTrue="1">
      <formula>RIGHT(B16,2)="00"</formula>
    </cfRule>
  </conditionalFormatting>
  <conditionalFormatting sqref="B22:B30">
    <cfRule type="expression" dxfId="47" priority="38" stopIfTrue="1">
      <formula>RIGHT(B22,2)="00"</formula>
    </cfRule>
  </conditionalFormatting>
  <conditionalFormatting sqref="D16:D18">
    <cfRule type="expression" dxfId="46" priority="17" stopIfTrue="1">
      <formula>OR(RIGHT($B16,2)="00",$B16="")</formula>
    </cfRule>
  </conditionalFormatting>
  <conditionalFormatting sqref="D20:D21">
    <cfRule type="expression" dxfId="45" priority="9" stopIfTrue="1">
      <formula>OR(RIGHT($B20,2)="00",$B20="")</formula>
    </cfRule>
  </conditionalFormatting>
  <conditionalFormatting sqref="D24:D26">
    <cfRule type="expression" dxfId="44" priority="40" stopIfTrue="1">
      <formula>OR(RIGHT($B24,2)="00",$B24="")</formula>
    </cfRule>
  </conditionalFormatting>
  <conditionalFormatting sqref="D27:D28">
    <cfRule type="expression" dxfId="43" priority="13" stopIfTrue="1">
      <formula>OR(RIGHT($B27,2)="00",$B27="")</formula>
    </cfRule>
  </conditionalFormatting>
  <conditionalFormatting sqref="L24:L28">
    <cfRule type="expression" dxfId="42" priority="2" stopIfTrue="1">
      <formula>OR(RIGHT($B24,2)="00",LEFT($D24,5)="Total")</formula>
    </cfRule>
  </conditionalFormatting>
  <pageMargins left="0.39370078740157499" right="0.39370078740157499" top="0.39370078740157499" bottom="0.39370078740157499" header="0.31496062992126" footer="0.31496062992126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O32"/>
  <sheetViews>
    <sheetView zoomScale="85" zoomScaleNormal="85" workbookViewId="0">
      <selection activeCell="B2" sqref="B2:H2"/>
    </sheetView>
  </sheetViews>
  <sheetFormatPr defaultColWidth="9.140625" defaultRowHeight="12.75"/>
  <cols>
    <col min="1" max="1" width="3" style="107" customWidth="1"/>
    <col min="2" max="2" width="6.5703125" style="107" customWidth="1"/>
    <col min="3" max="3" width="11.5703125" style="107" customWidth="1"/>
    <col min="4" max="4" width="62.5703125" style="107" customWidth="1"/>
    <col min="5" max="5" width="7" style="107" customWidth="1"/>
    <col min="6" max="7" width="13.85546875" style="109" customWidth="1"/>
    <col min="8" max="8" width="15" style="109" customWidth="1"/>
    <col min="9" max="9" width="15.140625" style="109" customWidth="1"/>
    <col min="10" max="10" width="20.5703125" style="205" customWidth="1"/>
    <col min="11" max="11" width="10.140625" style="4" customWidth="1"/>
    <col min="12" max="12" width="10.140625" style="107" customWidth="1"/>
    <col min="13" max="13" width="13.28515625" style="107" customWidth="1"/>
    <col min="14" max="14" width="6.42578125" style="107" customWidth="1"/>
    <col min="15" max="15" width="15.85546875" style="107" customWidth="1"/>
    <col min="16" max="16384" width="9.140625" style="107"/>
  </cols>
  <sheetData>
    <row r="2" spans="2:15" s="3" customFormat="1" ht="16.5" customHeight="1">
      <c r="B2" s="355" t="s">
        <v>0</v>
      </c>
      <c r="C2" s="324"/>
      <c r="D2" s="324"/>
      <c r="E2" s="324"/>
      <c r="F2" s="324"/>
      <c r="G2" s="324"/>
      <c r="H2" s="324"/>
      <c r="I2" s="358" t="s">
        <v>45</v>
      </c>
      <c r="J2" s="359"/>
      <c r="K2" s="360"/>
    </row>
    <row r="3" spans="2:15" s="3" customFormat="1" ht="16.5" customHeight="1">
      <c r="B3" s="325" t="s">
        <v>2</v>
      </c>
      <c r="C3" s="326"/>
      <c r="D3" s="326"/>
      <c r="E3" s="326"/>
      <c r="F3" s="326"/>
      <c r="G3" s="326"/>
      <c r="H3" s="326"/>
      <c r="I3" s="361"/>
      <c r="J3" s="362"/>
      <c r="K3" s="363"/>
    </row>
    <row r="4" spans="2:15" s="3" customFormat="1" ht="13.5" customHeight="1">
      <c r="B4" s="325" t="s">
        <v>3</v>
      </c>
      <c r="C4" s="326"/>
      <c r="D4" s="326"/>
      <c r="E4" s="326"/>
      <c r="F4" s="326"/>
      <c r="G4" s="326"/>
      <c r="H4" s="326"/>
      <c r="I4" s="361"/>
      <c r="J4" s="362"/>
      <c r="K4" s="363"/>
    </row>
    <row r="5" spans="2:15">
      <c r="B5" s="356" t="s">
        <v>4</v>
      </c>
      <c r="C5" s="357"/>
      <c r="D5" s="357"/>
      <c r="E5" s="357"/>
      <c r="F5" s="357"/>
      <c r="G5" s="357"/>
      <c r="H5" s="357"/>
      <c r="I5" s="364"/>
      <c r="J5" s="365"/>
      <c r="K5" s="366"/>
    </row>
    <row r="6" spans="2:15">
      <c r="B6" s="206"/>
      <c r="C6" s="207"/>
      <c r="D6" s="208"/>
      <c r="E6" s="208"/>
      <c r="F6" s="208"/>
      <c r="G6" s="208"/>
      <c r="H6" s="208"/>
      <c r="I6" s="329"/>
      <c r="J6" s="329"/>
      <c r="K6" s="329"/>
    </row>
    <row r="7" spans="2:15" ht="35.25" customHeight="1">
      <c r="B7" s="330" t="s">
        <v>5</v>
      </c>
      <c r="C7" s="331"/>
      <c r="D7" s="331"/>
      <c r="E7" s="331"/>
      <c r="F7" s="331"/>
      <c r="G7" s="331"/>
      <c r="H7" s="331"/>
      <c r="I7" s="331"/>
      <c r="J7" s="331"/>
      <c r="K7" s="332"/>
    </row>
    <row r="8" spans="2:15">
      <c r="B8" s="333"/>
      <c r="C8" s="334"/>
      <c r="D8" s="334"/>
      <c r="E8" s="334"/>
      <c r="F8" s="334"/>
      <c r="G8" s="334"/>
      <c r="H8" s="334"/>
      <c r="I8" s="334"/>
      <c r="J8" s="334"/>
      <c r="K8" s="335"/>
    </row>
    <row r="9" spans="2:15" ht="12.75" customHeight="1">
      <c r="B9" s="342" t="s">
        <v>6</v>
      </c>
      <c r="C9" s="318"/>
      <c r="D9" s="318"/>
      <c r="E9" s="209" t="s">
        <v>7</v>
      </c>
      <c r="F9" s="210">
        <f>ROUND(BDI!D36,4)</f>
        <v>0.215</v>
      </c>
      <c r="G9" s="209"/>
      <c r="H9" s="318" t="s">
        <v>320</v>
      </c>
      <c r="I9" s="318"/>
      <c r="J9" s="237">
        <f>114.64/100</f>
        <v>1.1464000000000001</v>
      </c>
      <c r="K9" s="209"/>
    </row>
    <row r="10" spans="2:15" ht="15.75">
      <c r="B10" s="343"/>
      <c r="C10" s="319"/>
      <c r="D10" s="319"/>
      <c r="E10" s="319"/>
      <c r="F10" s="319"/>
      <c r="G10" s="319"/>
      <c r="H10" s="319"/>
      <c r="I10" s="319"/>
      <c r="J10" s="319"/>
      <c r="K10" s="319"/>
    </row>
    <row r="11" spans="2:15" ht="18">
      <c r="B11" s="344" t="s">
        <v>46</v>
      </c>
      <c r="C11" s="323"/>
      <c r="D11" s="323"/>
      <c r="E11" s="323"/>
      <c r="F11" s="323"/>
      <c r="G11" s="323"/>
      <c r="H11" s="323"/>
      <c r="I11" s="323"/>
      <c r="J11" s="323"/>
      <c r="K11" s="323"/>
      <c r="N11" s="238"/>
    </row>
    <row r="12" spans="2:15" ht="31.5" customHeight="1">
      <c r="B12" s="211" t="s">
        <v>9</v>
      </c>
      <c r="C12" s="311" t="s">
        <v>10</v>
      </c>
      <c r="D12" s="312"/>
      <c r="E12" s="211" t="s">
        <v>11</v>
      </c>
      <c r="F12" s="212" t="s">
        <v>14</v>
      </c>
      <c r="G12" s="213" t="s">
        <v>15</v>
      </c>
      <c r="H12" s="212" t="s">
        <v>16</v>
      </c>
      <c r="I12" s="213" t="s">
        <v>17</v>
      </c>
      <c r="J12" s="212" t="s">
        <v>18</v>
      </c>
      <c r="K12" s="211" t="s">
        <v>19</v>
      </c>
      <c r="O12" s="239" t="e">
        <f>J30/#REF!</f>
        <v>#REF!</v>
      </c>
    </row>
    <row r="13" spans="2:15">
      <c r="B13" s="313"/>
      <c r="C13" s="314"/>
      <c r="D13" s="314"/>
      <c r="E13" s="314"/>
      <c r="F13" s="314"/>
      <c r="G13" s="314"/>
      <c r="H13" s="314"/>
      <c r="I13" s="314"/>
      <c r="J13" s="315"/>
    </row>
    <row r="14" spans="2:15" ht="20.100000000000001" customHeight="1">
      <c r="B14" s="7">
        <v>1</v>
      </c>
      <c r="C14" s="346" t="s">
        <v>20</v>
      </c>
      <c r="D14" s="347"/>
      <c r="E14" s="348"/>
      <c r="F14" s="349"/>
      <c r="G14" s="349"/>
      <c r="H14" s="349"/>
      <c r="I14" s="349"/>
      <c r="J14" s="350"/>
      <c r="K14" s="240" t="s">
        <v>19</v>
      </c>
      <c r="N14" s="238"/>
    </row>
    <row r="15" spans="2:15" s="203" customFormat="1" ht="29.25" customHeight="1">
      <c r="B15" s="214" t="s">
        <v>21</v>
      </c>
      <c r="C15" s="215" t="str">
        <f>'COMPOSIÇÕES - SICRO'!A152</f>
        <v>SICRO 5914639</v>
      </c>
      <c r="D15" s="216" t="s">
        <v>22</v>
      </c>
      <c r="E15" s="217" t="str">
        <f>'COMPOSIÇÕES - SICRO'!I151</f>
        <v>tkm</v>
      </c>
      <c r="F15" s="218">
        <f>ROUND((MOBILIZAÇÃO!G27*0.7),4)</f>
        <v>1578.15</v>
      </c>
      <c r="G15" s="219">
        <f>'COMPOSIÇÕES - SICRO'!I173</f>
        <v>0.7</v>
      </c>
      <c r="H15" s="220">
        <f>ROUND(F15*G15,2)</f>
        <v>1104.71</v>
      </c>
      <c r="I15" s="241">
        <f t="shared" ref="I15:I20" si="0">ROUND(G15*(1+$F$9),2)</f>
        <v>0.85</v>
      </c>
      <c r="J15" s="242">
        <f>ROUND(I15*F15,2)</f>
        <v>1341.43</v>
      </c>
      <c r="K15" s="33">
        <f t="shared" ref="K15:K21" si="1">((J15/$J$30))</f>
        <v>7.0621018311882694E-2</v>
      </c>
    </row>
    <row r="16" spans="2:15" s="203" customFormat="1" ht="29.25" customHeight="1">
      <c r="B16" s="214" t="s">
        <v>23</v>
      </c>
      <c r="C16" s="215" t="str">
        <f>'COMPOSIÇÕES - SICRO'!A179</f>
        <v>SICRO 5914640</v>
      </c>
      <c r="D16" s="216" t="s">
        <v>24</v>
      </c>
      <c r="E16" s="217" t="str">
        <f>'COMPOSIÇÕES - SICRO'!I178</f>
        <v>tkm</v>
      </c>
      <c r="F16" s="218">
        <f>ROUND((MOBILIZAÇÃO!G27*0.3),4)</f>
        <v>676.35</v>
      </c>
      <c r="G16" s="219">
        <f>'COMPOSIÇÕES - SICRO'!I200</f>
        <v>0.56999999999999995</v>
      </c>
      <c r="H16" s="220">
        <f>ROUND(F16*G16,2)</f>
        <v>385.52</v>
      </c>
      <c r="I16" s="241">
        <f t="shared" si="0"/>
        <v>0.69</v>
      </c>
      <c r="J16" s="242">
        <f>ROUND(I16*F16,2)</f>
        <v>466.68</v>
      </c>
      <c r="K16" s="33">
        <f t="shared" si="1"/>
        <v>2.4568868167395553E-2</v>
      </c>
    </row>
    <row r="17" spans="2:13" s="203" customFormat="1" ht="30.75" customHeight="1">
      <c r="B17" s="214" t="s">
        <v>25</v>
      </c>
      <c r="C17" s="215" t="str">
        <f>'COMPOSIÇÕES SINAPI'!A15</f>
        <v>CPU-01</v>
      </c>
      <c r="D17" s="216" t="str">
        <f>'COMPOSIÇÕES SINAPI'!D15</f>
        <v>ADMINISTRAÇÃO LOCAL</v>
      </c>
      <c r="E17" s="217" t="str">
        <f>'COMPOSIÇÕES SINAPI'!E15</f>
        <v>%</v>
      </c>
      <c r="F17" s="221">
        <v>1</v>
      </c>
      <c r="G17" s="222">
        <f>'COMPOSIÇÕES SINAPI'!H18</f>
        <v>962.48</v>
      </c>
      <c r="H17" s="220">
        <f>ROUND(F17*G17,2)</f>
        <v>962.48</v>
      </c>
      <c r="I17" s="241">
        <f t="shared" si="0"/>
        <v>1169.4100000000001</v>
      </c>
      <c r="J17" s="242">
        <f>ROUND(I17*F17,2)</f>
        <v>1169.4100000000001</v>
      </c>
      <c r="K17" s="33">
        <f t="shared" si="1"/>
        <v>6.156484126946523E-2</v>
      </c>
    </row>
    <row r="18" spans="2:13" s="203" customFormat="1" ht="32.25" customHeight="1">
      <c r="B18" s="214" t="s">
        <v>26</v>
      </c>
      <c r="C18" s="215" t="str">
        <f>'COMPOSIÇÕES SINAPI'!A20</f>
        <v>CPU-02</v>
      </c>
      <c r="D18" s="216" t="str">
        <f>'COMPOSIÇÕES SINAPI'!D20</f>
        <v>PLACA DE OBRA EM CHAPA DE AÇO GALVANIZADO</v>
      </c>
      <c r="E18" s="217" t="str">
        <f>'COMPOSIÇÕES SINAPI'!E20</f>
        <v>M²</v>
      </c>
      <c r="F18" s="218">
        <f>(3.2*1.6)/8</f>
        <v>0.64000000000000012</v>
      </c>
      <c r="G18" s="219">
        <f>'COMPOSIÇÕES SINAPI'!H31</f>
        <v>450.28000000000003</v>
      </c>
      <c r="H18" s="220">
        <f t="shared" ref="H18:H23" si="2">ROUND(F18*G18,2)</f>
        <v>288.18</v>
      </c>
      <c r="I18" s="241">
        <f t="shared" si="0"/>
        <v>547.09</v>
      </c>
      <c r="J18" s="242">
        <f t="shared" ref="J18:J20" si="3">ROUND(I18*F18,2)</f>
        <v>350.14</v>
      </c>
      <c r="K18" s="33">
        <f t="shared" si="1"/>
        <v>1.843349511470789E-2</v>
      </c>
    </row>
    <row r="19" spans="2:13" s="203" customFormat="1" ht="28.5" customHeight="1">
      <c r="B19" s="214" t="s">
        <v>27</v>
      </c>
      <c r="C19" s="215" t="str">
        <f>'COMPOSIÇÕES - SICRO'!A152</f>
        <v>SICRO 5914639</v>
      </c>
      <c r="D19" s="216" t="s">
        <v>28</v>
      </c>
      <c r="E19" s="217" t="str">
        <f>'COMPOSIÇÕES - SICRO'!I151</f>
        <v>tkm</v>
      </c>
      <c r="F19" s="218">
        <f>ROUND((MOBILIZAÇÃO!G27*0.7),4)</f>
        <v>1578.15</v>
      </c>
      <c r="G19" s="219">
        <f>'COMPOSIÇÕES - SICRO'!I173</f>
        <v>0.7</v>
      </c>
      <c r="H19" s="220">
        <f t="shared" si="2"/>
        <v>1104.71</v>
      </c>
      <c r="I19" s="241">
        <f t="shared" si="0"/>
        <v>0.85</v>
      </c>
      <c r="J19" s="242">
        <f t="shared" si="3"/>
        <v>1341.43</v>
      </c>
      <c r="K19" s="33">
        <f t="shared" si="1"/>
        <v>7.0621018311882694E-2</v>
      </c>
    </row>
    <row r="20" spans="2:13" s="203" customFormat="1" ht="28.5" customHeight="1">
      <c r="B20" s="214" t="s">
        <v>29</v>
      </c>
      <c r="C20" s="215" t="str">
        <f>'COMPOSIÇÕES - SICRO'!A179</f>
        <v>SICRO 5914640</v>
      </c>
      <c r="D20" s="216" t="s">
        <v>30</v>
      </c>
      <c r="E20" s="217" t="str">
        <f>'COMPOSIÇÕES - SICRO'!I178</f>
        <v>tkm</v>
      </c>
      <c r="F20" s="218">
        <f>ROUND((MOBILIZAÇÃO!G27*0.3),4)</f>
        <v>676.35</v>
      </c>
      <c r="G20" s="219">
        <f>'COMPOSIÇÕES - SICRO'!I200</f>
        <v>0.56999999999999995</v>
      </c>
      <c r="H20" s="220">
        <f t="shared" si="2"/>
        <v>385.52</v>
      </c>
      <c r="I20" s="241">
        <f t="shared" si="0"/>
        <v>0.69</v>
      </c>
      <c r="J20" s="242">
        <f t="shared" si="3"/>
        <v>466.68</v>
      </c>
      <c r="K20" s="33">
        <f t="shared" si="1"/>
        <v>2.4568868167395553E-2</v>
      </c>
    </row>
    <row r="21" spans="2:13" s="203" customFormat="1" ht="20.100000000000001" customHeight="1">
      <c r="B21" s="351"/>
      <c r="C21" s="352"/>
      <c r="D21" s="353"/>
      <c r="E21" s="354" t="s">
        <v>31</v>
      </c>
      <c r="F21" s="354"/>
      <c r="G21" s="354"/>
      <c r="H21" s="354"/>
      <c r="I21" s="354"/>
      <c r="J21" s="243">
        <f>SUM(J15:J20)</f>
        <v>5135.7700000000004</v>
      </c>
      <c r="K21" s="244">
        <f t="shared" si="1"/>
        <v>0.2703781093427296</v>
      </c>
      <c r="M21" s="245"/>
    </row>
    <row r="22" spans="2:13" s="204" customFormat="1" ht="45.75" customHeight="1">
      <c r="B22" s="223">
        <v>2</v>
      </c>
      <c r="C22" s="336" t="s">
        <v>47</v>
      </c>
      <c r="D22" s="337"/>
      <c r="E22" s="338"/>
      <c r="F22" s="339"/>
      <c r="G22" s="339"/>
      <c r="H22" s="339"/>
      <c r="I22" s="339"/>
      <c r="J22" s="339"/>
      <c r="K22" s="246" t="s">
        <v>19</v>
      </c>
    </row>
    <row r="23" spans="2:13" s="203" customFormat="1" ht="45.75" customHeight="1">
      <c r="B23" s="214" t="s">
        <v>33</v>
      </c>
      <c r="C23" s="215" t="str">
        <f>'COMPOSIÇÕES - SICRO'!A96</f>
        <v>CODEVASF (adaptado de SICRO 5502985)</v>
      </c>
      <c r="D23" s="216" t="s">
        <v>34</v>
      </c>
      <c r="E23" s="217" t="str">
        <f>'COMPOSIÇÕES - SICRO'!I95</f>
        <v>m²</v>
      </c>
      <c r="F23" s="218">
        <f>20*25</f>
        <v>500</v>
      </c>
      <c r="G23" s="218">
        <f>'COMPOSIÇÕES - SICRO'!I118</f>
        <v>0.45</v>
      </c>
      <c r="H23" s="220">
        <f t="shared" si="2"/>
        <v>225</v>
      </c>
      <c r="I23" s="241">
        <f>ROUND(G23*(1+$F$9),2)</f>
        <v>0.55000000000000004</v>
      </c>
      <c r="J23" s="242">
        <f>ROUND(I23*F23,2)</f>
        <v>275</v>
      </c>
      <c r="K23" s="33">
        <f t="shared" ref="K23:K28" si="4">((J23/$J$30))</f>
        <v>1.4477669379518677E-2</v>
      </c>
      <c r="M23" s="247"/>
    </row>
    <row r="24" spans="2:13" s="203" customFormat="1" ht="45.75" customHeight="1">
      <c r="B24" s="214" t="s">
        <v>35</v>
      </c>
      <c r="C24" s="215" t="str">
        <f>'COMPOSIÇÕES - SICRO'!A67</f>
        <v>SICRO 5502114</v>
      </c>
      <c r="D24" s="216" t="s">
        <v>36</v>
      </c>
      <c r="E24" s="217" t="str">
        <f>'COMPOSIÇÕES - SICRO'!I66</f>
        <v>m³</v>
      </c>
      <c r="F24" s="218">
        <v>600</v>
      </c>
      <c r="G24" s="218">
        <f>'COMPOSIÇÕES - SICRO'!I90</f>
        <v>8.07</v>
      </c>
      <c r="H24" s="220">
        <f>ROUND(F24*G24,2)</f>
        <v>4842</v>
      </c>
      <c r="I24" s="241">
        <f>ROUND(G24*(1+$F$9),2)</f>
        <v>9.81</v>
      </c>
      <c r="J24" s="242">
        <f>ROUND(I24*F24,2)</f>
        <v>5886</v>
      </c>
      <c r="K24" s="33">
        <f t="shared" si="4"/>
        <v>0.30987477079217068</v>
      </c>
      <c r="M24" s="247"/>
    </row>
    <row r="25" spans="2:13" s="203" customFormat="1" ht="45.75" customHeight="1">
      <c r="B25" s="214" t="s">
        <v>37</v>
      </c>
      <c r="C25" s="215" t="str">
        <f>'COMPOSIÇÕES - SICRO'!A124</f>
        <v>CODEVASF (adaptado de SICRO 4413942)</v>
      </c>
      <c r="D25" s="216" t="s">
        <v>38</v>
      </c>
      <c r="E25" s="217" t="str">
        <f>'COMPOSIÇÕES - SICRO'!I123</f>
        <v>m³</v>
      </c>
      <c r="F25" s="218">
        <f>F24</f>
        <v>600</v>
      </c>
      <c r="G25" s="218">
        <f>'COMPOSIÇÕES - SICRO'!I146</f>
        <v>1.59</v>
      </c>
      <c r="H25" s="220">
        <f>ROUND(F25*G25,2)</f>
        <v>954</v>
      </c>
      <c r="I25" s="241">
        <f>ROUND(G25*(1+$F$9),2)</f>
        <v>1.93</v>
      </c>
      <c r="J25" s="242">
        <f>ROUND(I25*F25,2)</f>
        <v>1158</v>
      </c>
      <c r="K25" s="33">
        <f t="shared" si="4"/>
        <v>6.0964149605391378E-2</v>
      </c>
      <c r="M25" s="247"/>
    </row>
    <row r="26" spans="2:13" s="203" customFormat="1" ht="31.5" customHeight="1">
      <c r="B26" s="214" t="s">
        <v>39</v>
      </c>
      <c r="C26" s="215" t="str">
        <f>'COMPOSIÇÕES - SICRO'!A11</f>
        <v>SICRO 5501706</v>
      </c>
      <c r="D26" s="216" t="s">
        <v>40</v>
      </c>
      <c r="E26" s="217" t="str">
        <f>'COMPOSIÇÕES - SICRO'!I10</f>
        <v>m³</v>
      </c>
      <c r="F26" s="218">
        <v>400</v>
      </c>
      <c r="G26" s="218">
        <f>'COMPOSIÇÕES - SICRO'!I33</f>
        <v>7.03</v>
      </c>
      <c r="H26" s="220">
        <f>ROUND(F26*G26,2)</f>
        <v>2812</v>
      </c>
      <c r="I26" s="241">
        <f>ROUND(G26*(1+$F$9),2)</f>
        <v>8.5399999999999991</v>
      </c>
      <c r="J26" s="242">
        <f>ROUND(I26*F26,2)</f>
        <v>3416</v>
      </c>
      <c r="K26" s="33">
        <f t="shared" si="4"/>
        <v>0.17983897672885746</v>
      </c>
      <c r="M26" s="247"/>
    </row>
    <row r="27" spans="2:13" s="203" customFormat="1" ht="31.5" customHeight="1">
      <c r="B27" s="224" t="s">
        <v>41</v>
      </c>
      <c r="C27" s="225" t="str">
        <f>'COMPOSIÇÕES - SICRO'!A39</f>
        <v>SICRO 4805754</v>
      </c>
      <c r="D27" s="226" t="s">
        <v>42</v>
      </c>
      <c r="E27" s="227" t="str">
        <f>'COMPOSIÇÕES - SICRO'!I38</f>
        <v>m³</v>
      </c>
      <c r="F27" s="228">
        <f>F26</f>
        <v>400</v>
      </c>
      <c r="G27" s="228">
        <f>'COMPOSIÇÕES - SICRO'!I61</f>
        <v>6.43</v>
      </c>
      <c r="H27" s="220">
        <f>ROUND(F27*G27,2)</f>
        <v>2572</v>
      </c>
      <c r="I27" s="241">
        <f>ROUND(G27*(1+$F$9),2)</f>
        <v>7.81</v>
      </c>
      <c r="J27" s="242">
        <f>ROUND(I27*F27,2)</f>
        <v>3124</v>
      </c>
      <c r="K27" s="39">
        <f t="shared" si="4"/>
        <v>0.16446632415133217</v>
      </c>
      <c r="M27" s="247"/>
    </row>
    <row r="28" spans="2:13" s="203" customFormat="1" ht="18.75" customHeight="1">
      <c r="B28" s="229"/>
      <c r="C28" s="230"/>
      <c r="D28" s="231"/>
      <c r="E28" s="340" t="s">
        <v>43</v>
      </c>
      <c r="F28" s="340"/>
      <c r="G28" s="340"/>
      <c r="H28" s="340"/>
      <c r="I28" s="340"/>
      <c r="J28" s="248">
        <f>SUM(J23:J27)</f>
        <v>13859</v>
      </c>
      <c r="K28" s="249">
        <f t="shared" si="4"/>
        <v>0.72962189065727034</v>
      </c>
    </row>
    <row r="29" spans="2:13" s="203" customFormat="1" ht="7.5" customHeight="1">
      <c r="B29" s="232"/>
      <c r="C29" s="1"/>
      <c r="D29" s="1"/>
      <c r="E29" s="1"/>
      <c r="F29" s="1"/>
      <c r="G29" s="1"/>
      <c r="H29" s="1"/>
      <c r="I29" s="1"/>
      <c r="J29" s="1"/>
      <c r="K29" s="250"/>
    </row>
    <row r="30" spans="2:13" s="203" customFormat="1" ht="19.5" customHeight="1">
      <c r="B30" s="232"/>
      <c r="C30" s="1"/>
      <c r="D30" s="233"/>
      <c r="E30" s="341" t="s">
        <v>48</v>
      </c>
      <c r="F30" s="341"/>
      <c r="G30" s="341"/>
      <c r="H30" s="341"/>
      <c r="I30" s="341"/>
      <c r="J30" s="251">
        <f>ROUND((SUM(J21,J28)),4)</f>
        <v>18994.77</v>
      </c>
      <c r="K30" s="244">
        <f>((J30/$J$30))</f>
        <v>1</v>
      </c>
      <c r="M30" s="252"/>
    </row>
    <row r="31" spans="2:13" s="203" customFormat="1" ht="9" customHeight="1">
      <c r="B31" s="232"/>
      <c r="C31" s="1"/>
      <c r="D31" s="1"/>
      <c r="E31" s="1"/>
      <c r="F31" s="1"/>
      <c r="G31" s="1"/>
      <c r="H31" s="1"/>
      <c r="I31" s="1"/>
      <c r="J31" s="253"/>
      <c r="K31" s="254"/>
    </row>
    <row r="32" spans="2:13" s="203" customFormat="1" ht="15">
      <c r="B32" s="234"/>
      <c r="C32" s="235"/>
      <c r="D32" s="236"/>
      <c r="E32" s="345" t="s">
        <v>49</v>
      </c>
      <c r="F32" s="345"/>
      <c r="G32" s="345"/>
      <c r="H32" s="345"/>
      <c r="I32" s="345"/>
      <c r="J32" s="255">
        <f>J30/(F24+F26)</f>
        <v>18.994769999999999</v>
      </c>
      <c r="K32" s="256"/>
    </row>
  </sheetData>
  <mergeCells count="22">
    <mergeCell ref="B2:H2"/>
    <mergeCell ref="B3:H3"/>
    <mergeCell ref="B4:H4"/>
    <mergeCell ref="B5:H5"/>
    <mergeCell ref="I6:K6"/>
    <mergeCell ref="I2:K5"/>
    <mergeCell ref="E32:I32"/>
    <mergeCell ref="B13:J13"/>
    <mergeCell ref="C14:D14"/>
    <mergeCell ref="E14:J14"/>
    <mergeCell ref="B21:D21"/>
    <mergeCell ref="E21:I21"/>
    <mergeCell ref="B7:K8"/>
    <mergeCell ref="C22:D22"/>
    <mergeCell ref="E22:J22"/>
    <mergeCell ref="E28:I28"/>
    <mergeCell ref="E30:I30"/>
    <mergeCell ref="B9:D9"/>
    <mergeCell ref="H9:I9"/>
    <mergeCell ref="B10:K10"/>
    <mergeCell ref="B11:K11"/>
    <mergeCell ref="C12:D12"/>
  </mergeCells>
  <conditionalFormatting sqref="B14">
    <cfRule type="expression" dxfId="41" priority="26" stopIfTrue="1">
      <formula>RIGHT(B14,2)="00"</formula>
    </cfRule>
  </conditionalFormatting>
  <conditionalFormatting sqref="B18">
    <cfRule type="expression" dxfId="40" priority="5" stopIfTrue="1">
      <formula>RIGHT(B18,2)="00"</formula>
    </cfRule>
  </conditionalFormatting>
  <conditionalFormatting sqref="D18">
    <cfRule type="expression" dxfId="39" priority="4" stopIfTrue="1">
      <formula>OR(RIGHT($B18,2)="00",$B18="")</formula>
    </cfRule>
  </conditionalFormatting>
  <conditionalFormatting sqref="B19">
    <cfRule type="expression" dxfId="38" priority="12" stopIfTrue="1">
      <formula>RIGHT(B19,2)="00"</formula>
    </cfRule>
  </conditionalFormatting>
  <conditionalFormatting sqref="B20">
    <cfRule type="expression" dxfId="37" priority="9" stopIfTrue="1">
      <formula>RIGHT(B20,2)="00"</formula>
    </cfRule>
  </conditionalFormatting>
  <conditionalFormatting sqref="J21">
    <cfRule type="expression" dxfId="36" priority="56" stopIfTrue="1">
      <formula>OR(RIGHT(#REF!,2)="00",LEFT($D21,5)="Total")</formula>
    </cfRule>
    <cfRule type="expression" dxfId="35" priority="58" stopIfTrue="1">
      <formula>OR(RIGHT($B21,2)="00",LEFT($D21,5)="Total")</formula>
    </cfRule>
  </conditionalFormatting>
  <conditionalFormatting sqref="J28">
    <cfRule type="expression" dxfId="34" priority="39" stopIfTrue="1">
      <formula>OR(RIGHT(#REF!,2)="00",LEFT($D28,5)="Total")</formula>
    </cfRule>
    <cfRule type="expression" dxfId="33" priority="40" stopIfTrue="1">
      <formula>OR(RIGHT($B28,2)="00",LEFT($D28,5)="Total")</formula>
    </cfRule>
    <cfRule type="expression" dxfId="32" priority="52" stopIfTrue="1">
      <formula>OR(RIGHT(#REF!,2)="00",LEFT($D28,5)="Total")</formula>
    </cfRule>
    <cfRule type="expression" dxfId="31" priority="53" stopIfTrue="1">
      <formula>OR(RIGHT(#REF!,2)="00",LEFT($D28,5)="Total")</formula>
    </cfRule>
    <cfRule type="expression" dxfId="30" priority="54" stopIfTrue="1">
      <formula>OR(RIGHT($B28,2)="00",LEFT($D28,5)="Total")</formula>
    </cfRule>
    <cfRule type="expression" dxfId="29" priority="55" stopIfTrue="1">
      <formula>OR(RIGHT($B28,2)="00",LEFT($D28,5)="Total")</formula>
    </cfRule>
    <cfRule type="expression" dxfId="28" priority="57" stopIfTrue="1">
      <formula>OR(RIGHT($B28,2)="00",LEFT($D28,5)="Total")</formula>
    </cfRule>
  </conditionalFormatting>
  <conditionalFormatting sqref="J30">
    <cfRule type="expression" dxfId="27" priority="47" stopIfTrue="1">
      <formula>OR(RIGHT(#REF!,2)="00",LEFT($D30,5)="Total")</formula>
    </cfRule>
    <cfRule type="expression" dxfId="26" priority="48" stopIfTrue="1">
      <formula>OR(RIGHT(#REF!,2)="00",LEFT($D30,5)="Total")</formula>
    </cfRule>
    <cfRule type="expression" dxfId="25" priority="49" stopIfTrue="1">
      <formula>OR(RIGHT($B30,2)="00",LEFT($D30,5)="Total")</formula>
    </cfRule>
    <cfRule type="expression" dxfId="24" priority="50" stopIfTrue="1">
      <formula>OR(RIGHT($B30,2)="00",LEFT($D30,5)="Total")</formula>
    </cfRule>
    <cfRule type="expression" dxfId="23" priority="51" stopIfTrue="1">
      <formula>OR(RIGHT($B30,2)="00",LEFT($D30,5)="Total")</formula>
    </cfRule>
  </conditionalFormatting>
  <conditionalFormatting sqref="J32">
    <cfRule type="expression" dxfId="22" priority="41" stopIfTrue="1">
      <formula>OR(RIGHT(#REF!,2)="00",LEFT($D32,5)="Total")</formula>
    </cfRule>
    <cfRule type="expression" dxfId="21" priority="42" stopIfTrue="1">
      <formula>OR(RIGHT(#REF!,2)="00",LEFT($D32,5)="Total")</formula>
    </cfRule>
    <cfRule type="expression" dxfId="20" priority="43" stopIfTrue="1">
      <formula>OR(RIGHT($B32,2)="00",LEFT($D32,5)="Total")</formula>
    </cfRule>
    <cfRule type="expression" dxfId="19" priority="44" stopIfTrue="1">
      <formula>OR(RIGHT($B32,2)="00",LEFT($D32,5)="Total")</formula>
    </cfRule>
    <cfRule type="expression" dxfId="18" priority="45" stopIfTrue="1">
      <formula>OR(RIGHT($B32,2)="00",LEFT($D32,5)="Total")</formula>
    </cfRule>
    <cfRule type="expression" dxfId="17" priority="46" stopIfTrue="1">
      <formula>OR(RIGHT($B32,2)="00",LEFT($D32,5)="Total")</formula>
    </cfRule>
    <cfRule type="expression" dxfId="16" priority="62" stopIfTrue="1">
      <formula>LEFT($D32,5)="Total"</formula>
    </cfRule>
  </conditionalFormatting>
  <conditionalFormatting sqref="B15:B17">
    <cfRule type="expression" dxfId="15" priority="33" stopIfTrue="1">
      <formula>RIGHT(B15,2)="00"</formula>
    </cfRule>
  </conditionalFormatting>
  <conditionalFormatting sqref="D15:D17">
    <cfRule type="expression" dxfId="14" priority="35" stopIfTrue="1">
      <formula>OR(RIGHT($B15,2)="00",$B15="")</formula>
    </cfRule>
  </conditionalFormatting>
  <conditionalFormatting sqref="D19:D20">
    <cfRule type="expression" dxfId="13" priority="8" stopIfTrue="1">
      <formula>OR(RIGHT($B19,2)="00",$B19="")</formula>
    </cfRule>
  </conditionalFormatting>
  <conditionalFormatting sqref="D26:D27">
    <cfRule type="expression" dxfId="12" priority="25" stopIfTrue="1">
      <formula>OR(RIGHT($B26,2)="00",$B26="")</formula>
    </cfRule>
  </conditionalFormatting>
  <conditionalFormatting sqref="J15:J20">
    <cfRule type="expression" dxfId="11" priority="34" stopIfTrue="1">
      <formula>OR(RIGHT($B15,2)="00",LEFT($D15,5)="Total")</formula>
    </cfRule>
  </conditionalFormatting>
  <conditionalFormatting sqref="J23:J27">
    <cfRule type="expression" dxfId="10" priority="1" stopIfTrue="1">
      <formula>OR(RIGHT($B23,2)="00",LEFT($D23,5)="Total")</formula>
    </cfRule>
  </conditionalFormatting>
  <pageMargins left="0.39370078740157499" right="0.39370078740157499" top="0.39370078740157499" bottom="0.39370078740157499" header="0.31496062992126" footer="0.31496062992126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00"/>
  <sheetViews>
    <sheetView workbookViewId="0">
      <selection activeCell="A202" sqref="A202:XFD202"/>
    </sheetView>
  </sheetViews>
  <sheetFormatPr defaultColWidth="9" defaultRowHeight="12.75"/>
  <cols>
    <col min="1" max="1" width="14.7109375" customWidth="1"/>
    <col min="2" max="2" width="62.42578125" customWidth="1"/>
    <col min="3" max="3" width="14.5703125" customWidth="1"/>
    <col min="4" max="4" width="13.42578125" customWidth="1"/>
    <col min="5" max="5" width="13.85546875" customWidth="1"/>
    <col min="6" max="7" width="16.5703125" customWidth="1"/>
    <col min="8" max="8" width="13.7109375" customWidth="1"/>
    <col min="9" max="9" width="19.85546875" customWidth="1"/>
  </cols>
  <sheetData>
    <row r="1" spans="1:9">
      <c r="B1" s="378" t="s">
        <v>50</v>
      </c>
      <c r="C1" s="378"/>
      <c r="D1" s="378"/>
      <c r="E1" s="378"/>
      <c r="F1" s="378"/>
      <c r="G1" s="378"/>
      <c r="H1" s="378"/>
      <c r="I1" s="378"/>
    </row>
    <row r="2" spans="1:9">
      <c r="B2" s="378" t="s">
        <v>2</v>
      </c>
      <c r="C2" s="378"/>
      <c r="D2" s="378"/>
      <c r="E2" s="378"/>
      <c r="F2" s="378"/>
      <c r="G2" s="378"/>
      <c r="H2" s="378"/>
      <c r="I2" s="378"/>
    </row>
    <row r="3" spans="1:9">
      <c r="B3" s="378" t="s">
        <v>51</v>
      </c>
      <c r="C3" s="378"/>
      <c r="D3" s="378"/>
      <c r="E3" s="378"/>
      <c r="F3" s="378"/>
      <c r="G3" s="378"/>
      <c r="H3" s="378"/>
      <c r="I3" s="378"/>
    </row>
    <row r="5" spans="1:9" ht="39" customHeight="1">
      <c r="A5" s="379" t="s">
        <v>5</v>
      </c>
      <c r="B5" s="380"/>
      <c r="C5" s="380"/>
      <c r="D5" s="380"/>
      <c r="E5" s="380"/>
      <c r="F5" s="380"/>
      <c r="G5" s="380"/>
      <c r="H5" s="380"/>
      <c r="I5" s="381"/>
    </row>
    <row r="8" spans="1:9" ht="23.25" customHeight="1">
      <c r="A8" s="162" t="s">
        <v>52</v>
      </c>
      <c r="B8" s="163"/>
      <c r="C8" s="163"/>
      <c r="D8" s="163"/>
      <c r="E8" s="163"/>
      <c r="F8" s="163"/>
      <c r="G8" s="163"/>
      <c r="H8" s="163"/>
      <c r="I8" s="189" t="s">
        <v>53</v>
      </c>
    </row>
    <row r="9" spans="1:9" ht="18.75" customHeight="1">
      <c r="A9" s="164" t="s">
        <v>54</v>
      </c>
      <c r="B9" s="165"/>
      <c r="C9" s="165"/>
      <c r="D9" s="166" t="s">
        <v>55</v>
      </c>
      <c r="E9" s="165"/>
      <c r="F9" s="165"/>
      <c r="G9" s="167" t="s">
        <v>56</v>
      </c>
      <c r="H9" s="168">
        <v>1.4250000000000001E-2</v>
      </c>
      <c r="I9" s="190"/>
    </row>
    <row r="10" spans="1:9" ht="15.75" customHeight="1">
      <c r="A10" s="169" t="s">
        <v>57</v>
      </c>
      <c r="B10" s="170"/>
      <c r="C10" s="170"/>
      <c r="D10" s="171" t="s">
        <v>58</v>
      </c>
      <c r="E10" s="170"/>
      <c r="F10" s="170"/>
      <c r="G10" s="172" t="s">
        <v>59</v>
      </c>
      <c r="H10" s="173">
        <v>26</v>
      </c>
      <c r="I10" s="191" t="s">
        <v>60</v>
      </c>
    </row>
    <row r="11" spans="1:9" ht="30" customHeight="1">
      <c r="A11" s="174" t="s">
        <v>61</v>
      </c>
      <c r="B11" s="373" t="s">
        <v>40</v>
      </c>
      <c r="C11" s="373"/>
      <c r="D11" s="373"/>
      <c r="E11" s="373"/>
      <c r="F11" s="373"/>
      <c r="G11" s="373"/>
      <c r="H11" s="374" t="s">
        <v>62</v>
      </c>
      <c r="I11" s="375"/>
    </row>
    <row r="12" spans="1:9" ht="15.75" customHeight="1">
      <c r="A12" s="369" t="s">
        <v>63</v>
      </c>
      <c r="B12" s="370"/>
      <c r="C12" s="367" t="s">
        <v>64</v>
      </c>
      <c r="D12" s="367" t="s">
        <v>65</v>
      </c>
      <c r="E12" s="367"/>
      <c r="F12" s="367" t="s">
        <v>66</v>
      </c>
      <c r="G12" s="367"/>
      <c r="H12" s="170"/>
      <c r="I12" s="192" t="s">
        <v>67</v>
      </c>
    </row>
    <row r="13" spans="1:9" ht="15.75" customHeight="1">
      <c r="A13" s="369"/>
      <c r="B13" s="370"/>
      <c r="C13" s="367"/>
      <c r="D13" s="176" t="s">
        <v>68</v>
      </c>
      <c r="E13" s="176" t="s">
        <v>69</v>
      </c>
      <c r="F13" s="176" t="s">
        <v>70</v>
      </c>
      <c r="G13" s="176" t="s">
        <v>71</v>
      </c>
      <c r="H13" s="177"/>
      <c r="I13" s="193" t="s">
        <v>72</v>
      </c>
    </row>
    <row r="14" spans="1:9" ht="28.5">
      <c r="A14" s="178" t="str">
        <f>'INSUMOS - PREÇOS'!D9</f>
        <v>E9526</v>
      </c>
      <c r="B14" s="179" t="str">
        <f>'INSUMOS - PREÇOS'!A9</f>
        <v>Retroescavadeira de pneus com capacidade de 0,76 m³ - 58 Kw</v>
      </c>
      <c r="C14" s="180">
        <v>1</v>
      </c>
      <c r="D14" s="181">
        <v>1</v>
      </c>
      <c r="E14" s="181">
        <v>0</v>
      </c>
      <c r="F14" s="182">
        <f>'INSUMOS - PREÇOS'!F9</f>
        <v>159.5565</v>
      </c>
      <c r="G14" s="182">
        <f>'INSUMOS - PREÇOS'!G9</f>
        <v>82.704400000000007</v>
      </c>
      <c r="H14" s="170"/>
      <c r="I14" s="194">
        <f>(((D14*F14)+(E14*G14))*C14)</f>
        <v>159.5565</v>
      </c>
    </row>
    <row r="15" spans="1:9" ht="15.75" customHeight="1">
      <c r="A15" s="183"/>
      <c r="B15" s="177"/>
      <c r="C15" s="177"/>
      <c r="D15" s="177"/>
      <c r="E15" s="177"/>
      <c r="F15" s="177"/>
      <c r="G15" s="184" t="s">
        <v>73</v>
      </c>
      <c r="H15" s="177"/>
      <c r="I15" s="195">
        <f>SUM(I14)</f>
        <v>159.5565</v>
      </c>
    </row>
    <row r="16" spans="1:9" ht="15.75" customHeight="1">
      <c r="A16" s="175" t="s">
        <v>74</v>
      </c>
      <c r="B16" s="177"/>
      <c r="C16" s="176" t="s">
        <v>64</v>
      </c>
      <c r="D16" s="176" t="s">
        <v>75</v>
      </c>
      <c r="E16" s="177"/>
      <c r="F16" s="176" t="s">
        <v>66</v>
      </c>
      <c r="G16" s="371" t="s">
        <v>76</v>
      </c>
      <c r="H16" s="371"/>
      <c r="I16" s="368"/>
    </row>
    <row r="17" spans="1:9" ht="14.25">
      <c r="A17" s="178" t="str">
        <f>'INSUMOS - PREÇOS'!D10</f>
        <v>P9824</v>
      </c>
      <c r="B17" s="179" t="str">
        <f>'INSUMOS - PREÇOS'!A10</f>
        <v>Servente</v>
      </c>
      <c r="C17" s="180">
        <v>1</v>
      </c>
      <c r="D17" s="185" t="s">
        <v>77</v>
      </c>
      <c r="E17" s="170"/>
      <c r="F17" s="182">
        <f>'INSUMOS - PREÇOS'!F10</f>
        <v>20.681000000000001</v>
      </c>
      <c r="G17" s="170"/>
      <c r="H17" s="170"/>
      <c r="I17" s="194">
        <f>C17*F17</f>
        <v>20.681000000000001</v>
      </c>
    </row>
    <row r="18" spans="1:9" ht="15.75" customHeight="1">
      <c r="A18" s="186"/>
      <c r="B18" s="170"/>
      <c r="C18" s="372" t="s">
        <v>78</v>
      </c>
      <c r="D18" s="372"/>
      <c r="E18" s="372"/>
      <c r="F18" s="372"/>
      <c r="G18" s="372"/>
      <c r="H18" s="170"/>
      <c r="I18" s="194">
        <f>SUM(I17)</f>
        <v>20.681000000000001</v>
      </c>
    </row>
    <row r="19" spans="1:9" ht="15.75" customHeight="1">
      <c r="A19" s="183"/>
      <c r="B19" s="177"/>
      <c r="C19" s="371" t="s">
        <v>79</v>
      </c>
      <c r="D19" s="371"/>
      <c r="E19" s="371"/>
      <c r="F19" s="371"/>
      <c r="G19" s="371"/>
      <c r="H19" s="177"/>
      <c r="I19" s="196">
        <f>SUM(I15,I18)</f>
        <v>180.23750000000001</v>
      </c>
    </row>
    <row r="20" spans="1:9" ht="15.75" customHeight="1">
      <c r="A20" s="186"/>
      <c r="B20" s="170"/>
      <c r="C20" s="372" t="s">
        <v>80</v>
      </c>
      <c r="D20" s="372"/>
      <c r="E20" s="372"/>
      <c r="F20" s="372"/>
      <c r="G20" s="372"/>
      <c r="H20" s="170"/>
      <c r="I20" s="197">
        <f>I19/H10</f>
        <v>6.932211538461539</v>
      </c>
    </row>
    <row r="21" spans="1:9" ht="15.75" customHeight="1">
      <c r="A21" s="186"/>
      <c r="B21" s="170"/>
      <c r="C21" s="170"/>
      <c r="D21" s="170"/>
      <c r="E21" s="170"/>
      <c r="F21" s="170"/>
      <c r="G21" s="187" t="s">
        <v>81</v>
      </c>
      <c r="H21" s="170"/>
      <c r="I21" s="198">
        <f>ROUNDDOWN(I20*H9,4)</f>
        <v>9.8699999999999996E-2</v>
      </c>
    </row>
    <row r="22" spans="1:9" ht="15.75" customHeight="1">
      <c r="A22" s="183"/>
      <c r="B22" s="177"/>
      <c r="C22" s="177"/>
      <c r="D22" s="177"/>
      <c r="E22" s="177"/>
      <c r="F22" s="177"/>
      <c r="G22" s="184" t="s">
        <v>82</v>
      </c>
      <c r="H22" s="177"/>
      <c r="I22" s="196" t="s">
        <v>83</v>
      </c>
    </row>
    <row r="23" spans="1:9" ht="15.75" customHeight="1">
      <c r="A23" s="175" t="s">
        <v>84</v>
      </c>
      <c r="B23" s="177"/>
      <c r="C23" s="176" t="s">
        <v>64</v>
      </c>
      <c r="D23" s="176" t="s">
        <v>75</v>
      </c>
      <c r="E23" s="177"/>
      <c r="F23" s="176" t="s">
        <v>85</v>
      </c>
      <c r="G23" s="371" t="s">
        <v>86</v>
      </c>
      <c r="H23" s="371"/>
      <c r="I23" s="368"/>
    </row>
    <row r="24" spans="1:9" ht="24.95" customHeight="1">
      <c r="A24" s="183"/>
      <c r="B24" s="177"/>
      <c r="C24" s="371" t="s">
        <v>87</v>
      </c>
      <c r="D24" s="371"/>
      <c r="E24" s="371"/>
      <c r="F24" s="371"/>
      <c r="G24" s="371"/>
      <c r="H24" s="177"/>
      <c r="I24" s="195"/>
    </row>
    <row r="25" spans="1:9" ht="15.75" customHeight="1">
      <c r="A25" s="175" t="s">
        <v>88</v>
      </c>
      <c r="B25" s="177"/>
      <c r="C25" s="176" t="s">
        <v>64</v>
      </c>
      <c r="D25" s="176" t="s">
        <v>75</v>
      </c>
      <c r="E25" s="177"/>
      <c r="F25" s="176" t="s">
        <v>86</v>
      </c>
      <c r="G25" s="371" t="s">
        <v>86</v>
      </c>
      <c r="H25" s="371"/>
      <c r="I25" s="368"/>
    </row>
    <row r="26" spans="1:9" ht="24.95" customHeight="1">
      <c r="A26" s="183"/>
      <c r="B26" s="177"/>
      <c r="C26" s="371" t="s">
        <v>89</v>
      </c>
      <c r="D26" s="371"/>
      <c r="E26" s="371"/>
      <c r="F26" s="371"/>
      <c r="G26" s="371"/>
      <c r="H26" s="177"/>
      <c r="I26" s="195"/>
    </row>
    <row r="27" spans="1:9" ht="15.75" customHeight="1">
      <c r="A27" s="183"/>
      <c r="B27" s="177"/>
      <c r="C27" s="177"/>
      <c r="D27" s="177"/>
      <c r="E27" s="177"/>
      <c r="F27" s="177"/>
      <c r="G27" s="184" t="s">
        <v>90</v>
      </c>
      <c r="H27" s="177"/>
      <c r="I27" s="196">
        <f>ROUNDUP(I20+I21,4)</f>
        <v>7.0309999999999997</v>
      </c>
    </row>
    <row r="28" spans="1:9" ht="15.75" customHeight="1">
      <c r="A28" s="175" t="s">
        <v>91</v>
      </c>
      <c r="B28" s="177"/>
      <c r="C28" s="176" t="s">
        <v>92</v>
      </c>
      <c r="D28" s="176" t="s">
        <v>64</v>
      </c>
      <c r="E28" s="176" t="s">
        <v>75</v>
      </c>
      <c r="F28" s="177"/>
      <c r="G28" s="176" t="s">
        <v>86</v>
      </c>
      <c r="H28" s="371" t="s">
        <v>86</v>
      </c>
      <c r="I28" s="368"/>
    </row>
    <row r="29" spans="1:9" ht="24.95" customHeight="1">
      <c r="A29" s="183"/>
      <c r="B29" s="177"/>
      <c r="C29" s="371" t="s">
        <v>93</v>
      </c>
      <c r="D29" s="371"/>
      <c r="E29" s="371"/>
      <c r="F29" s="371"/>
      <c r="G29" s="371"/>
      <c r="H29" s="177"/>
      <c r="I29" s="196"/>
    </row>
    <row r="30" spans="1:9" ht="15.75" customHeight="1">
      <c r="A30" s="369" t="s">
        <v>94</v>
      </c>
      <c r="B30" s="370"/>
      <c r="C30" s="367" t="s">
        <v>64</v>
      </c>
      <c r="D30" s="367" t="s">
        <v>75</v>
      </c>
      <c r="E30" s="367" t="s">
        <v>95</v>
      </c>
      <c r="F30" s="367"/>
      <c r="G30" s="367"/>
      <c r="H30" s="170"/>
      <c r="I30" s="368" t="s">
        <v>86</v>
      </c>
    </row>
    <row r="31" spans="1:9" ht="15.75" customHeight="1">
      <c r="A31" s="369"/>
      <c r="B31" s="370"/>
      <c r="C31" s="367"/>
      <c r="D31" s="367"/>
      <c r="E31" s="176" t="s">
        <v>96</v>
      </c>
      <c r="F31" s="176" t="s">
        <v>97</v>
      </c>
      <c r="G31" s="176" t="s">
        <v>98</v>
      </c>
      <c r="H31" s="177"/>
      <c r="I31" s="368"/>
    </row>
    <row r="32" spans="1:9" ht="24.95" customHeight="1">
      <c r="A32" s="186"/>
      <c r="B32" s="170"/>
      <c r="C32" s="372" t="s">
        <v>99</v>
      </c>
      <c r="D32" s="372"/>
      <c r="E32" s="372"/>
      <c r="F32" s="372"/>
      <c r="G32" s="372"/>
      <c r="H32" s="170"/>
      <c r="I32" s="199"/>
    </row>
    <row r="33" spans="1:9" ht="15.75" customHeight="1">
      <c r="A33" s="183"/>
      <c r="B33" s="177"/>
      <c r="C33" s="177"/>
      <c r="D33" s="177"/>
      <c r="E33" s="371" t="s">
        <v>100</v>
      </c>
      <c r="F33" s="371"/>
      <c r="G33" s="371"/>
      <c r="H33" s="177"/>
      <c r="I33" s="200">
        <f>ROUNDDOWN(I27,2)</f>
        <v>7.03</v>
      </c>
    </row>
    <row r="36" spans="1:9" ht="23.25" customHeight="1">
      <c r="A36" s="162" t="s">
        <v>52</v>
      </c>
      <c r="B36" s="163"/>
      <c r="C36" s="163"/>
      <c r="D36" s="163"/>
      <c r="E36" s="163"/>
      <c r="F36" s="163"/>
      <c r="G36" s="163"/>
      <c r="H36" s="163"/>
      <c r="I36" s="189" t="s">
        <v>53</v>
      </c>
    </row>
    <row r="37" spans="1:9" ht="18.75" customHeight="1">
      <c r="A37" s="164" t="s">
        <v>54</v>
      </c>
      <c r="B37" s="165"/>
      <c r="C37" s="165"/>
      <c r="D37" s="166" t="s">
        <v>55</v>
      </c>
      <c r="E37" s="165"/>
      <c r="F37" s="165"/>
      <c r="G37" s="167" t="s">
        <v>56</v>
      </c>
      <c r="H37" s="168">
        <v>1.4250000000000001E-2</v>
      </c>
      <c r="I37" s="190"/>
    </row>
    <row r="38" spans="1:9" ht="15.75" customHeight="1">
      <c r="A38" s="169" t="s">
        <v>57</v>
      </c>
      <c r="B38" s="170"/>
      <c r="C38" s="170"/>
      <c r="D38" s="171" t="s">
        <v>58</v>
      </c>
      <c r="E38" s="170"/>
      <c r="F38" s="170"/>
      <c r="G38" s="172" t="s">
        <v>59</v>
      </c>
      <c r="H38" s="188">
        <v>4.6687500000000002</v>
      </c>
      <c r="I38" s="191" t="s">
        <v>60</v>
      </c>
    </row>
    <row r="39" spans="1:9" ht="30" customHeight="1">
      <c r="A39" s="174" t="s">
        <v>101</v>
      </c>
      <c r="B39" s="373" t="s">
        <v>42</v>
      </c>
      <c r="C39" s="373"/>
      <c r="D39" s="373"/>
      <c r="E39" s="373"/>
      <c r="F39" s="373"/>
      <c r="G39" s="373"/>
      <c r="H39" s="374" t="s">
        <v>62</v>
      </c>
      <c r="I39" s="375"/>
    </row>
    <row r="40" spans="1:9" ht="15.75" customHeight="1">
      <c r="A40" s="369" t="s">
        <v>63</v>
      </c>
      <c r="B40" s="370"/>
      <c r="C40" s="367" t="s">
        <v>64</v>
      </c>
      <c r="D40" s="367" t="s">
        <v>65</v>
      </c>
      <c r="E40" s="367"/>
      <c r="F40" s="367" t="s">
        <v>66</v>
      </c>
      <c r="G40" s="367"/>
      <c r="H40" s="170"/>
      <c r="I40" s="192" t="s">
        <v>67</v>
      </c>
    </row>
    <row r="41" spans="1:9" ht="15.75" customHeight="1">
      <c r="A41" s="369"/>
      <c r="B41" s="370"/>
      <c r="C41" s="367"/>
      <c r="D41" s="176" t="s">
        <v>68</v>
      </c>
      <c r="E41" s="176" t="s">
        <v>69</v>
      </c>
      <c r="F41" s="176" t="s">
        <v>70</v>
      </c>
      <c r="G41" s="176" t="s">
        <v>71</v>
      </c>
      <c r="H41" s="177"/>
      <c r="I41" s="193" t="s">
        <v>72</v>
      </c>
    </row>
    <row r="42" spans="1:9" ht="14.25">
      <c r="A42" s="178" t="str">
        <f>'INSUMOS - PREÇOS'!D7</f>
        <v>E9647</v>
      </c>
      <c r="B42" s="179" t="str">
        <f>'INSUMOS - PREÇOS'!A7</f>
        <v>Compactador manual com soquete vibratório - 4,10 Kw</v>
      </c>
      <c r="C42" s="180">
        <v>1</v>
      </c>
      <c r="D42" s="181">
        <v>1</v>
      </c>
      <c r="E42" s="181">
        <v>0</v>
      </c>
      <c r="F42" s="182">
        <f>'INSUMOS - PREÇOS'!F7</f>
        <v>8.9304000000000006</v>
      </c>
      <c r="G42" s="182">
        <f>'INSUMOS - PREÇOS'!G7</f>
        <v>1.1386000000000001</v>
      </c>
      <c r="H42" s="170"/>
      <c r="I42" s="194">
        <f>(((D42*F42)+(E42*G42))*C42)</f>
        <v>8.9304000000000006</v>
      </c>
    </row>
    <row r="43" spans="1:9" ht="15.75" customHeight="1">
      <c r="A43" s="183"/>
      <c r="B43" s="177"/>
      <c r="C43" s="177"/>
      <c r="D43" s="177"/>
      <c r="E43" s="177"/>
      <c r="F43" s="177"/>
      <c r="G43" s="184" t="s">
        <v>73</v>
      </c>
      <c r="H43" s="177"/>
      <c r="I43" s="195">
        <f>SUM(I42)</f>
        <v>8.9304000000000006</v>
      </c>
    </row>
    <row r="44" spans="1:9" ht="15.75" customHeight="1">
      <c r="A44" s="175" t="s">
        <v>74</v>
      </c>
      <c r="B44" s="177"/>
      <c r="C44" s="176" t="s">
        <v>64</v>
      </c>
      <c r="D44" s="176" t="s">
        <v>75</v>
      </c>
      <c r="E44" s="177"/>
      <c r="F44" s="176" t="s">
        <v>66</v>
      </c>
      <c r="G44" s="371" t="s">
        <v>76</v>
      </c>
      <c r="H44" s="371"/>
      <c r="I44" s="368"/>
    </row>
    <row r="45" spans="1:9" ht="14.25">
      <c r="A45" s="178" t="str">
        <f>'INSUMOS - PREÇOS'!D10</f>
        <v>P9824</v>
      </c>
      <c r="B45" s="179" t="str">
        <f>'INSUMOS - PREÇOS'!A10</f>
        <v>Servente</v>
      </c>
      <c r="C45" s="180">
        <v>1</v>
      </c>
      <c r="D45" s="185" t="s">
        <v>77</v>
      </c>
      <c r="E45" s="170"/>
      <c r="F45" s="182">
        <f>'INSUMOS - PREÇOS'!F10</f>
        <v>20.681000000000001</v>
      </c>
      <c r="G45" s="170"/>
      <c r="H45" s="170"/>
      <c r="I45" s="194">
        <f>C45*F45</f>
        <v>20.681000000000001</v>
      </c>
    </row>
    <row r="46" spans="1:9" ht="15.75" customHeight="1">
      <c r="A46" s="186"/>
      <c r="B46" s="170"/>
      <c r="C46" s="372" t="s">
        <v>78</v>
      </c>
      <c r="D46" s="372"/>
      <c r="E46" s="372"/>
      <c r="F46" s="372"/>
      <c r="G46" s="372"/>
      <c r="H46" s="170"/>
      <c r="I46" s="194">
        <f>SUM(I45)</f>
        <v>20.681000000000001</v>
      </c>
    </row>
    <row r="47" spans="1:9" ht="15.75" customHeight="1">
      <c r="A47" s="183"/>
      <c r="B47" s="177"/>
      <c r="C47" s="371" t="s">
        <v>79</v>
      </c>
      <c r="D47" s="371"/>
      <c r="E47" s="371"/>
      <c r="F47" s="371"/>
      <c r="G47" s="371"/>
      <c r="H47" s="177"/>
      <c r="I47" s="196">
        <f>SUM(I43,I46)</f>
        <v>29.611400000000003</v>
      </c>
    </row>
    <row r="48" spans="1:9" ht="15.75" customHeight="1">
      <c r="A48" s="186"/>
      <c r="B48" s="170"/>
      <c r="C48" s="372" t="s">
        <v>80</v>
      </c>
      <c r="D48" s="372"/>
      <c r="E48" s="372"/>
      <c r="F48" s="372"/>
      <c r="G48" s="372"/>
      <c r="H48" s="170"/>
      <c r="I48" s="197">
        <f>I47/H38</f>
        <v>6.3424685408299872</v>
      </c>
    </row>
    <row r="49" spans="1:9" ht="15.75" customHeight="1">
      <c r="A49" s="186"/>
      <c r="B49" s="170"/>
      <c r="C49" s="170"/>
      <c r="D49" s="170"/>
      <c r="E49" s="170"/>
      <c r="F49" s="170"/>
      <c r="G49" s="187" t="s">
        <v>81</v>
      </c>
      <c r="H49" s="170"/>
      <c r="I49" s="197">
        <f>ROUNDUP(I48*H37,4)</f>
        <v>9.0400000000000008E-2</v>
      </c>
    </row>
    <row r="50" spans="1:9" ht="15.75" customHeight="1">
      <c r="A50" s="183"/>
      <c r="B50" s="177"/>
      <c r="C50" s="177"/>
      <c r="D50" s="177"/>
      <c r="E50" s="177"/>
      <c r="F50" s="177"/>
      <c r="G50" s="184" t="s">
        <v>82</v>
      </c>
      <c r="H50" s="177"/>
      <c r="I50" s="196" t="s">
        <v>83</v>
      </c>
    </row>
    <row r="51" spans="1:9" ht="15.75" customHeight="1">
      <c r="A51" s="175" t="s">
        <v>84</v>
      </c>
      <c r="B51" s="177"/>
      <c r="C51" s="176" t="s">
        <v>64</v>
      </c>
      <c r="D51" s="176" t="s">
        <v>75</v>
      </c>
      <c r="E51" s="177"/>
      <c r="F51" s="176" t="s">
        <v>85</v>
      </c>
      <c r="G51" s="371" t="s">
        <v>86</v>
      </c>
      <c r="H51" s="371"/>
      <c r="I51" s="368"/>
    </row>
    <row r="52" spans="1:9" ht="24.95" customHeight="1">
      <c r="A52" s="183"/>
      <c r="B52" s="177"/>
      <c r="C52" s="371" t="s">
        <v>87</v>
      </c>
      <c r="D52" s="371"/>
      <c r="E52" s="371"/>
      <c r="F52" s="371"/>
      <c r="G52" s="371"/>
      <c r="H52" s="177"/>
      <c r="I52" s="195"/>
    </row>
    <row r="53" spans="1:9" ht="15.75" customHeight="1">
      <c r="A53" s="175" t="s">
        <v>88</v>
      </c>
      <c r="B53" s="177"/>
      <c r="C53" s="176" t="s">
        <v>64</v>
      </c>
      <c r="D53" s="176" t="s">
        <v>75</v>
      </c>
      <c r="E53" s="177"/>
      <c r="F53" s="176" t="s">
        <v>86</v>
      </c>
      <c r="G53" s="371" t="s">
        <v>86</v>
      </c>
      <c r="H53" s="371"/>
      <c r="I53" s="368"/>
    </row>
    <row r="54" spans="1:9" ht="24.95" customHeight="1">
      <c r="A54" s="183"/>
      <c r="B54" s="177"/>
      <c r="C54" s="371" t="s">
        <v>89</v>
      </c>
      <c r="D54" s="371"/>
      <c r="E54" s="371"/>
      <c r="F54" s="371"/>
      <c r="G54" s="371"/>
      <c r="H54" s="177"/>
      <c r="I54" s="195"/>
    </row>
    <row r="55" spans="1:9" ht="15.75" customHeight="1">
      <c r="A55" s="183"/>
      <c r="B55" s="177"/>
      <c r="C55" s="177"/>
      <c r="D55" s="177"/>
      <c r="E55" s="177"/>
      <c r="F55" s="177"/>
      <c r="G55" s="184" t="s">
        <v>90</v>
      </c>
      <c r="H55" s="177"/>
      <c r="I55" s="196">
        <f>I48+I49</f>
        <v>6.432868540829987</v>
      </c>
    </row>
    <row r="56" spans="1:9" ht="15.75" customHeight="1">
      <c r="A56" s="175" t="s">
        <v>91</v>
      </c>
      <c r="B56" s="177"/>
      <c r="C56" s="176" t="s">
        <v>92</v>
      </c>
      <c r="D56" s="176" t="s">
        <v>64</v>
      </c>
      <c r="E56" s="176" t="s">
        <v>75</v>
      </c>
      <c r="F56" s="177"/>
      <c r="G56" s="176" t="s">
        <v>86</v>
      </c>
      <c r="H56" s="371" t="s">
        <v>86</v>
      </c>
      <c r="I56" s="368"/>
    </row>
    <row r="57" spans="1:9" ht="24.95" customHeight="1">
      <c r="A57" s="183"/>
      <c r="B57" s="177"/>
      <c r="C57" s="371" t="s">
        <v>93</v>
      </c>
      <c r="D57" s="371"/>
      <c r="E57" s="371"/>
      <c r="F57" s="371"/>
      <c r="G57" s="371"/>
      <c r="H57" s="177"/>
      <c r="I57" s="196"/>
    </row>
    <row r="58" spans="1:9" ht="15.75" customHeight="1">
      <c r="A58" s="369" t="s">
        <v>94</v>
      </c>
      <c r="B58" s="370"/>
      <c r="C58" s="367" t="s">
        <v>64</v>
      </c>
      <c r="D58" s="367" t="s">
        <v>75</v>
      </c>
      <c r="E58" s="367" t="s">
        <v>95</v>
      </c>
      <c r="F58" s="367"/>
      <c r="G58" s="367"/>
      <c r="H58" s="170"/>
      <c r="I58" s="368" t="s">
        <v>86</v>
      </c>
    </row>
    <row r="59" spans="1:9" ht="15.75" customHeight="1">
      <c r="A59" s="369"/>
      <c r="B59" s="370"/>
      <c r="C59" s="367"/>
      <c r="D59" s="367"/>
      <c r="E59" s="176" t="s">
        <v>96</v>
      </c>
      <c r="F59" s="176" t="s">
        <v>97</v>
      </c>
      <c r="G59" s="176" t="s">
        <v>98</v>
      </c>
      <c r="H59" s="177"/>
      <c r="I59" s="368"/>
    </row>
    <row r="60" spans="1:9" ht="24.95" customHeight="1">
      <c r="A60" s="186"/>
      <c r="B60" s="170"/>
      <c r="C60" s="372" t="s">
        <v>99</v>
      </c>
      <c r="D60" s="372"/>
      <c r="E60" s="372"/>
      <c r="F60" s="372"/>
      <c r="G60" s="372"/>
      <c r="H60" s="170"/>
      <c r="I60" s="199"/>
    </row>
    <row r="61" spans="1:9" ht="15.75" customHeight="1">
      <c r="A61" s="183"/>
      <c r="B61" s="177"/>
      <c r="C61" s="177"/>
      <c r="D61" s="177"/>
      <c r="E61" s="371" t="s">
        <v>100</v>
      </c>
      <c r="F61" s="371"/>
      <c r="G61" s="371"/>
      <c r="H61" s="177"/>
      <c r="I61" s="200">
        <f>ROUNDDOWN(I55,2)</f>
        <v>6.43</v>
      </c>
    </row>
    <row r="64" spans="1:9" ht="23.25" customHeight="1">
      <c r="A64" s="162" t="s">
        <v>52</v>
      </c>
      <c r="B64" s="163"/>
      <c r="C64" s="163"/>
      <c r="D64" s="163"/>
      <c r="E64" s="163"/>
      <c r="F64" s="163"/>
      <c r="G64" s="163"/>
      <c r="H64" s="163"/>
      <c r="I64" s="189" t="s">
        <v>53</v>
      </c>
    </row>
    <row r="65" spans="1:9" ht="18.75" customHeight="1">
      <c r="A65" s="164" t="s">
        <v>54</v>
      </c>
      <c r="B65" s="165"/>
      <c r="C65" s="165"/>
      <c r="D65" s="166" t="s">
        <v>55</v>
      </c>
      <c r="E65" s="165"/>
      <c r="F65" s="165"/>
      <c r="G65" s="167" t="s">
        <v>56</v>
      </c>
      <c r="H65" s="168">
        <v>1.4250000000000001E-2</v>
      </c>
      <c r="I65" s="190"/>
    </row>
    <row r="66" spans="1:9" ht="15.75" customHeight="1">
      <c r="A66" s="169" t="s">
        <v>57</v>
      </c>
      <c r="B66" s="170"/>
      <c r="C66" s="170"/>
      <c r="D66" s="171" t="s">
        <v>58</v>
      </c>
      <c r="E66" s="170"/>
      <c r="F66" s="170"/>
      <c r="G66" s="172" t="s">
        <v>59</v>
      </c>
      <c r="H66" s="173">
        <v>230.19</v>
      </c>
      <c r="I66" s="191" t="s">
        <v>60</v>
      </c>
    </row>
    <row r="67" spans="1:9" ht="30" customHeight="1">
      <c r="A67" s="174" t="s">
        <v>102</v>
      </c>
      <c r="B67" s="373" t="s">
        <v>36</v>
      </c>
      <c r="C67" s="373"/>
      <c r="D67" s="373"/>
      <c r="E67" s="373"/>
      <c r="F67" s="373"/>
      <c r="G67" s="373"/>
      <c r="H67" s="374" t="s">
        <v>62</v>
      </c>
      <c r="I67" s="375"/>
    </row>
    <row r="68" spans="1:9" ht="15.75" customHeight="1">
      <c r="A68" s="369" t="s">
        <v>63</v>
      </c>
      <c r="B68" s="370"/>
      <c r="C68" s="367" t="s">
        <v>64</v>
      </c>
      <c r="D68" s="367" t="s">
        <v>65</v>
      </c>
      <c r="E68" s="367"/>
      <c r="F68" s="367" t="s">
        <v>66</v>
      </c>
      <c r="G68" s="367"/>
      <c r="H68" s="170"/>
      <c r="I68" s="192" t="s">
        <v>67</v>
      </c>
    </row>
    <row r="69" spans="1:9" ht="15.75" customHeight="1">
      <c r="A69" s="369"/>
      <c r="B69" s="370"/>
      <c r="C69" s="367"/>
      <c r="D69" s="176" t="s">
        <v>68</v>
      </c>
      <c r="E69" s="176" t="s">
        <v>69</v>
      </c>
      <c r="F69" s="176" t="s">
        <v>70</v>
      </c>
      <c r="G69" s="176" t="s">
        <v>71</v>
      </c>
      <c r="H69" s="177"/>
      <c r="I69" s="193" t="s">
        <v>72</v>
      </c>
    </row>
    <row r="70" spans="1:9" ht="14.25">
      <c r="A70" s="178" t="str">
        <f>'INSUMOS - PREÇOS'!D5</f>
        <v>E9667</v>
      </c>
      <c r="B70" s="179" t="str">
        <f>'INSUMOS - PREÇOS'!A5</f>
        <v>Caminhão basculante com capacidade de 14 m³ - 188 Kw</v>
      </c>
      <c r="C70" s="180">
        <v>5</v>
      </c>
      <c r="D70" s="181">
        <v>0.96</v>
      </c>
      <c r="E70" s="181">
        <v>0.04</v>
      </c>
      <c r="F70" s="182">
        <f>'INSUMOS - PREÇOS'!F5</f>
        <v>303.2158</v>
      </c>
      <c r="G70" s="182">
        <f>'INSUMOS - PREÇOS'!G5</f>
        <v>100.8479</v>
      </c>
      <c r="H70" s="170"/>
      <c r="I70" s="194">
        <f>(((D70*F70)+(E70*G70))*C70)</f>
        <v>1475.6054199999996</v>
      </c>
    </row>
    <row r="71" spans="1:9" ht="28.5">
      <c r="A71" s="178" t="str">
        <f>'INSUMOS - PREÇOS'!D8</f>
        <v>E9515</v>
      </c>
      <c r="B71" s="179" t="str">
        <f>'INSUMOS - PREÇOS'!A8</f>
        <v>Escavadeira hidráulica sobre esteiras com caçamba com capacidade de 1,56 m³ - 118 Kw</v>
      </c>
      <c r="C71" s="180">
        <v>1</v>
      </c>
      <c r="D71" s="181">
        <v>1</v>
      </c>
      <c r="E71" s="181">
        <v>0</v>
      </c>
      <c r="F71" s="182">
        <f>'INSUMOS - PREÇOS'!F8</f>
        <v>334.60169999999999</v>
      </c>
      <c r="G71" s="182">
        <f>'INSUMOS - PREÇOS'!G8</f>
        <v>156.98480000000001</v>
      </c>
      <c r="H71" s="170"/>
      <c r="I71" s="194">
        <f>(((D71*F71)+(E71*G71))*C71)</f>
        <v>334.60169999999999</v>
      </c>
    </row>
    <row r="72" spans="1:9" ht="15.75" customHeight="1">
      <c r="A72" s="183"/>
      <c r="B72" s="177"/>
      <c r="C72" s="177"/>
      <c r="D72" s="177"/>
      <c r="E72" s="177"/>
      <c r="F72" s="177"/>
      <c r="G72" s="184" t="s">
        <v>73</v>
      </c>
      <c r="H72" s="177"/>
      <c r="I72" s="195">
        <f>SUM(I70:I71)</f>
        <v>1810.2071199999996</v>
      </c>
    </row>
    <row r="73" spans="1:9" ht="15.75" customHeight="1">
      <c r="A73" s="175" t="s">
        <v>74</v>
      </c>
      <c r="B73" s="177"/>
      <c r="C73" s="176" t="s">
        <v>64</v>
      </c>
      <c r="D73" s="176" t="s">
        <v>75</v>
      </c>
      <c r="E73" s="177"/>
      <c r="F73" s="176" t="s">
        <v>66</v>
      </c>
      <c r="G73" s="371" t="s">
        <v>76</v>
      </c>
      <c r="H73" s="371"/>
      <c r="I73" s="368"/>
    </row>
    <row r="74" spans="1:9" ht="14.25">
      <c r="A74" s="178" t="str">
        <f>'INSUMOS - PREÇOS'!D10</f>
        <v>P9824</v>
      </c>
      <c r="B74" s="179" t="str">
        <f>'INSUMOS - PREÇOS'!A10</f>
        <v>Servente</v>
      </c>
      <c r="C74" s="180">
        <v>1</v>
      </c>
      <c r="D74" s="185" t="s">
        <v>77</v>
      </c>
      <c r="E74" s="170"/>
      <c r="F74" s="182">
        <f>'INSUMOS - PREÇOS'!F10</f>
        <v>20.681000000000001</v>
      </c>
      <c r="G74" s="170"/>
      <c r="H74" s="170"/>
      <c r="I74" s="194">
        <f>C74*F74</f>
        <v>20.681000000000001</v>
      </c>
    </row>
    <row r="75" spans="1:9" ht="15.75" customHeight="1">
      <c r="A75" s="186"/>
      <c r="B75" s="170"/>
      <c r="C75" s="372" t="s">
        <v>78</v>
      </c>
      <c r="D75" s="372"/>
      <c r="E75" s="372"/>
      <c r="F75" s="372"/>
      <c r="G75" s="372"/>
      <c r="H75" s="170"/>
      <c r="I75" s="194">
        <f>SUM(I74)</f>
        <v>20.681000000000001</v>
      </c>
    </row>
    <row r="76" spans="1:9" ht="15.75" customHeight="1">
      <c r="A76" s="183"/>
      <c r="B76" s="177"/>
      <c r="C76" s="371" t="s">
        <v>79</v>
      </c>
      <c r="D76" s="371"/>
      <c r="E76" s="371"/>
      <c r="F76" s="371"/>
      <c r="G76" s="371"/>
      <c r="H76" s="177"/>
      <c r="I76" s="196">
        <f>SUM(I72,I75)</f>
        <v>1830.8881199999996</v>
      </c>
    </row>
    <row r="77" spans="1:9" ht="15.75" customHeight="1">
      <c r="A77" s="186"/>
      <c r="B77" s="170"/>
      <c r="C77" s="372" t="s">
        <v>80</v>
      </c>
      <c r="D77" s="372"/>
      <c r="E77" s="372"/>
      <c r="F77" s="372"/>
      <c r="G77" s="372"/>
      <c r="H77" s="170"/>
      <c r="I77" s="197">
        <f>I76/H66</f>
        <v>7.9538125895998943</v>
      </c>
    </row>
    <row r="78" spans="1:9" ht="15.75" customHeight="1">
      <c r="A78" s="186"/>
      <c r="B78" s="170"/>
      <c r="C78" s="170"/>
      <c r="D78" s="170"/>
      <c r="E78" s="170"/>
      <c r="F78" s="170"/>
      <c r="G78" s="187" t="s">
        <v>81</v>
      </c>
      <c r="H78" s="170"/>
      <c r="I78" s="197">
        <f>ROUNDDOWN(I77*H65,4)</f>
        <v>0.1133</v>
      </c>
    </row>
    <row r="79" spans="1:9" ht="15.75" customHeight="1">
      <c r="A79" s="183"/>
      <c r="B79" s="177"/>
      <c r="C79" s="177"/>
      <c r="D79" s="177"/>
      <c r="E79" s="177"/>
      <c r="F79" s="177"/>
      <c r="G79" s="184" t="s">
        <v>82</v>
      </c>
      <c r="H79" s="177"/>
      <c r="I79" s="196" t="s">
        <v>83</v>
      </c>
    </row>
    <row r="80" spans="1:9" ht="15.75" customHeight="1">
      <c r="A80" s="175" t="s">
        <v>84</v>
      </c>
      <c r="B80" s="177"/>
      <c r="C80" s="176" t="s">
        <v>64</v>
      </c>
      <c r="D80" s="176" t="s">
        <v>75</v>
      </c>
      <c r="E80" s="177"/>
      <c r="F80" s="176" t="s">
        <v>85</v>
      </c>
      <c r="G80" s="371" t="s">
        <v>86</v>
      </c>
      <c r="H80" s="371"/>
      <c r="I80" s="368"/>
    </row>
    <row r="81" spans="1:9" ht="24.95" customHeight="1">
      <c r="A81" s="183"/>
      <c r="B81" s="177"/>
      <c r="C81" s="371" t="s">
        <v>87</v>
      </c>
      <c r="D81" s="371"/>
      <c r="E81" s="371"/>
      <c r="F81" s="371"/>
      <c r="G81" s="371"/>
      <c r="H81" s="177"/>
      <c r="I81" s="195"/>
    </row>
    <row r="82" spans="1:9" ht="15.75" customHeight="1">
      <c r="A82" s="175" t="s">
        <v>88</v>
      </c>
      <c r="B82" s="177"/>
      <c r="C82" s="176" t="s">
        <v>64</v>
      </c>
      <c r="D82" s="176" t="s">
        <v>75</v>
      </c>
      <c r="E82" s="177"/>
      <c r="F82" s="176" t="s">
        <v>86</v>
      </c>
      <c r="G82" s="371" t="s">
        <v>86</v>
      </c>
      <c r="H82" s="371"/>
      <c r="I82" s="368"/>
    </row>
    <row r="83" spans="1:9" ht="24.95" customHeight="1">
      <c r="A83" s="183"/>
      <c r="B83" s="177"/>
      <c r="C83" s="371" t="s">
        <v>89</v>
      </c>
      <c r="D83" s="371"/>
      <c r="E83" s="371"/>
      <c r="F83" s="371"/>
      <c r="G83" s="371"/>
      <c r="H83" s="177"/>
      <c r="I83" s="195"/>
    </row>
    <row r="84" spans="1:9" ht="15.75" customHeight="1">
      <c r="A84" s="183"/>
      <c r="B84" s="177"/>
      <c r="C84" s="177"/>
      <c r="D84" s="177"/>
      <c r="E84" s="177"/>
      <c r="F84" s="177"/>
      <c r="G84" s="184" t="s">
        <v>90</v>
      </c>
      <c r="H84" s="177"/>
      <c r="I84" s="196">
        <f>I77+I78</f>
        <v>8.0671125895998941</v>
      </c>
    </row>
    <row r="85" spans="1:9" ht="15.75" customHeight="1">
      <c r="A85" s="175" t="s">
        <v>91</v>
      </c>
      <c r="B85" s="177"/>
      <c r="C85" s="176" t="s">
        <v>92</v>
      </c>
      <c r="D85" s="176" t="s">
        <v>64</v>
      </c>
      <c r="E85" s="176" t="s">
        <v>75</v>
      </c>
      <c r="F85" s="177"/>
      <c r="G85" s="176" t="s">
        <v>86</v>
      </c>
      <c r="H85" s="371" t="s">
        <v>86</v>
      </c>
      <c r="I85" s="368"/>
    </row>
    <row r="86" spans="1:9" ht="24.95" customHeight="1">
      <c r="A86" s="183"/>
      <c r="B86" s="177"/>
      <c r="C86" s="371" t="s">
        <v>93</v>
      </c>
      <c r="D86" s="371"/>
      <c r="E86" s="371"/>
      <c r="F86" s="371"/>
      <c r="G86" s="371"/>
      <c r="H86" s="177"/>
      <c r="I86" s="196"/>
    </row>
    <row r="87" spans="1:9" ht="15.75" customHeight="1">
      <c r="A87" s="369" t="s">
        <v>94</v>
      </c>
      <c r="B87" s="370"/>
      <c r="C87" s="367" t="s">
        <v>64</v>
      </c>
      <c r="D87" s="367" t="s">
        <v>75</v>
      </c>
      <c r="E87" s="367" t="s">
        <v>95</v>
      </c>
      <c r="F87" s="367"/>
      <c r="G87" s="367"/>
      <c r="H87" s="170"/>
      <c r="I87" s="368" t="s">
        <v>86</v>
      </c>
    </row>
    <row r="88" spans="1:9" ht="15.75" customHeight="1">
      <c r="A88" s="369"/>
      <c r="B88" s="370"/>
      <c r="C88" s="367"/>
      <c r="D88" s="367"/>
      <c r="E88" s="176" t="s">
        <v>96</v>
      </c>
      <c r="F88" s="176" t="s">
        <v>97</v>
      </c>
      <c r="G88" s="176" t="s">
        <v>98</v>
      </c>
      <c r="H88" s="177"/>
      <c r="I88" s="368"/>
    </row>
    <row r="89" spans="1:9" ht="24.95" customHeight="1">
      <c r="A89" s="186"/>
      <c r="B89" s="170"/>
      <c r="C89" s="372" t="s">
        <v>99</v>
      </c>
      <c r="D89" s="372"/>
      <c r="E89" s="372"/>
      <c r="F89" s="372"/>
      <c r="G89" s="372"/>
      <c r="H89" s="170"/>
      <c r="I89" s="199"/>
    </row>
    <row r="90" spans="1:9" ht="15.75" customHeight="1">
      <c r="A90" s="183"/>
      <c r="B90" s="177"/>
      <c r="C90" s="177"/>
      <c r="D90" s="177"/>
      <c r="E90" s="371" t="s">
        <v>100</v>
      </c>
      <c r="F90" s="371"/>
      <c r="G90" s="371"/>
      <c r="H90" s="177"/>
      <c r="I90" s="200">
        <f>ROUNDUP(I84,2)</f>
        <v>8.07</v>
      </c>
    </row>
    <row r="93" spans="1:9" ht="23.25" customHeight="1">
      <c r="A93" s="162" t="s">
        <v>52</v>
      </c>
      <c r="B93" s="163"/>
      <c r="C93" s="163"/>
      <c r="D93" s="163"/>
      <c r="E93" s="163"/>
      <c r="F93" s="163"/>
      <c r="G93" s="163"/>
      <c r="H93" s="163"/>
      <c r="I93" s="189" t="s">
        <v>53</v>
      </c>
    </row>
    <row r="94" spans="1:9" ht="18.75" customHeight="1">
      <c r="A94" s="164" t="s">
        <v>54</v>
      </c>
      <c r="B94" s="165"/>
      <c r="C94" s="165"/>
      <c r="D94" s="166" t="s">
        <v>55</v>
      </c>
      <c r="E94" s="165"/>
      <c r="F94" s="165"/>
      <c r="G94" s="167" t="s">
        <v>56</v>
      </c>
      <c r="H94" s="168">
        <v>1.4250000000000001E-2</v>
      </c>
      <c r="I94" s="190"/>
    </row>
    <row r="95" spans="1:9" ht="15.75" customHeight="1">
      <c r="A95" s="169" t="s">
        <v>57</v>
      </c>
      <c r="B95" s="170"/>
      <c r="C95" s="170"/>
      <c r="D95" s="171" t="s">
        <v>58</v>
      </c>
      <c r="E95" s="170"/>
      <c r="F95" s="170"/>
      <c r="G95" s="172" t="s">
        <v>59</v>
      </c>
      <c r="H95" s="201">
        <f>622.95*0.65</f>
        <v>404.91750000000002</v>
      </c>
      <c r="I95" s="191" t="s">
        <v>103</v>
      </c>
    </row>
    <row r="96" spans="1:9" ht="63" customHeight="1">
      <c r="A96" s="202" t="s">
        <v>104</v>
      </c>
      <c r="B96" s="373" t="s">
        <v>34</v>
      </c>
      <c r="C96" s="373"/>
      <c r="D96" s="373"/>
      <c r="E96" s="373"/>
      <c r="F96" s="373"/>
      <c r="G96" s="373"/>
      <c r="H96" s="374" t="s">
        <v>62</v>
      </c>
      <c r="I96" s="375"/>
    </row>
    <row r="97" spans="1:9" ht="15.75" customHeight="1">
      <c r="A97" s="369" t="s">
        <v>63</v>
      </c>
      <c r="B97" s="370"/>
      <c r="C97" s="367" t="s">
        <v>64</v>
      </c>
      <c r="D97" s="367" t="s">
        <v>65</v>
      </c>
      <c r="E97" s="367"/>
      <c r="F97" s="367" t="s">
        <v>66</v>
      </c>
      <c r="G97" s="367"/>
      <c r="H97" s="170"/>
      <c r="I97" s="192" t="s">
        <v>67</v>
      </c>
    </row>
    <row r="98" spans="1:9" ht="15.75" customHeight="1">
      <c r="A98" s="369"/>
      <c r="B98" s="370"/>
      <c r="C98" s="367"/>
      <c r="D98" s="176" t="s">
        <v>68</v>
      </c>
      <c r="E98" s="176" t="s">
        <v>69</v>
      </c>
      <c r="F98" s="176" t="s">
        <v>70</v>
      </c>
      <c r="G98" s="176" t="s">
        <v>71</v>
      </c>
      <c r="H98" s="177"/>
      <c r="I98" s="193" t="s">
        <v>72</v>
      </c>
    </row>
    <row r="99" spans="1:9" ht="28.5">
      <c r="A99" s="178" t="str">
        <f>'INSUMOS - PREÇOS'!D9</f>
        <v>E9526</v>
      </c>
      <c r="B99" s="179" t="str">
        <f>'INSUMOS - PREÇOS'!A9</f>
        <v>Retroescavadeira de pneus com capacidade de 0,76 m³ - 58 Kw</v>
      </c>
      <c r="C99" s="180">
        <v>1</v>
      </c>
      <c r="D99" s="181">
        <v>1</v>
      </c>
      <c r="E99" s="181">
        <v>0</v>
      </c>
      <c r="F99" s="182">
        <f>'INSUMOS - PREÇOS'!F9</f>
        <v>159.5565</v>
      </c>
      <c r="G99" s="182">
        <f>'INSUMOS - PREÇOS'!G9</f>
        <v>82.704400000000007</v>
      </c>
      <c r="H99" s="170"/>
      <c r="I99" s="194">
        <f>(((D99*F99)+(E99*G99))*C99)</f>
        <v>159.5565</v>
      </c>
    </row>
    <row r="100" spans="1:9" ht="15.75" customHeight="1">
      <c r="A100" s="183"/>
      <c r="B100" s="177"/>
      <c r="C100" s="177"/>
      <c r="D100" s="177"/>
      <c r="E100" s="177"/>
      <c r="F100" s="177"/>
      <c r="G100" s="184" t="s">
        <v>73</v>
      </c>
      <c r="H100" s="177"/>
      <c r="I100" s="195">
        <f>SUM(I99)</f>
        <v>159.5565</v>
      </c>
    </row>
    <row r="101" spans="1:9" ht="15.75" customHeight="1">
      <c r="A101" s="175" t="s">
        <v>74</v>
      </c>
      <c r="B101" s="177"/>
      <c r="C101" s="176" t="s">
        <v>64</v>
      </c>
      <c r="D101" s="176" t="s">
        <v>75</v>
      </c>
      <c r="E101" s="177"/>
      <c r="F101" s="176" t="s">
        <v>66</v>
      </c>
      <c r="G101" s="371" t="s">
        <v>76</v>
      </c>
      <c r="H101" s="371"/>
      <c r="I101" s="368"/>
    </row>
    <row r="102" spans="1:9" ht="14.25">
      <c r="A102" s="178" t="str">
        <f>'INSUMOS - PREÇOS'!D10</f>
        <v>P9824</v>
      </c>
      <c r="B102" s="179" t="str">
        <f>'INSUMOS - PREÇOS'!A10</f>
        <v>Servente</v>
      </c>
      <c r="C102" s="180">
        <v>1</v>
      </c>
      <c r="D102" s="185" t="s">
        <v>77</v>
      </c>
      <c r="E102" s="170"/>
      <c r="F102" s="182">
        <f>'INSUMOS - PREÇOS'!F10</f>
        <v>20.681000000000001</v>
      </c>
      <c r="G102" s="170"/>
      <c r="H102" s="170"/>
      <c r="I102" s="194">
        <f>C102*F102</f>
        <v>20.681000000000001</v>
      </c>
    </row>
    <row r="103" spans="1:9" ht="15.75" customHeight="1">
      <c r="A103" s="186"/>
      <c r="B103" s="170"/>
      <c r="C103" s="372" t="s">
        <v>78</v>
      </c>
      <c r="D103" s="372"/>
      <c r="E103" s="372"/>
      <c r="F103" s="372"/>
      <c r="G103" s="372"/>
      <c r="H103" s="170"/>
      <c r="I103" s="194">
        <f>SUM(I102)</f>
        <v>20.681000000000001</v>
      </c>
    </row>
    <row r="104" spans="1:9" ht="15.75" customHeight="1">
      <c r="A104" s="183"/>
      <c r="B104" s="177"/>
      <c r="C104" s="371" t="s">
        <v>79</v>
      </c>
      <c r="D104" s="371"/>
      <c r="E104" s="371"/>
      <c r="F104" s="371"/>
      <c r="G104" s="371"/>
      <c r="H104" s="177"/>
      <c r="I104" s="196">
        <f>SUM(I100,I103)</f>
        <v>180.23750000000001</v>
      </c>
    </row>
    <row r="105" spans="1:9" ht="15.75" customHeight="1">
      <c r="A105" s="186"/>
      <c r="B105" s="170"/>
      <c r="C105" s="372" t="s">
        <v>80</v>
      </c>
      <c r="D105" s="372"/>
      <c r="E105" s="372"/>
      <c r="F105" s="372"/>
      <c r="G105" s="372"/>
      <c r="H105" s="170"/>
      <c r="I105" s="197">
        <f>I104/H95</f>
        <v>0.4451215371032371</v>
      </c>
    </row>
    <row r="106" spans="1:9" ht="15.75" customHeight="1">
      <c r="A106" s="186"/>
      <c r="B106" s="170"/>
      <c r="C106" s="170"/>
      <c r="D106" s="170"/>
      <c r="E106" s="170"/>
      <c r="F106" s="170"/>
      <c r="G106" s="187" t="s">
        <v>81</v>
      </c>
      <c r="H106" s="170"/>
      <c r="I106" s="198">
        <f>ROUNDUP(I105*H94,4)</f>
        <v>6.4000000000000003E-3</v>
      </c>
    </row>
    <row r="107" spans="1:9" ht="15.75" customHeight="1">
      <c r="A107" s="183"/>
      <c r="B107" s="177"/>
      <c r="C107" s="177"/>
      <c r="D107" s="177"/>
      <c r="E107" s="177"/>
      <c r="F107" s="177"/>
      <c r="G107" s="184" t="s">
        <v>82</v>
      </c>
      <c r="H107" s="177"/>
      <c r="I107" s="196" t="s">
        <v>83</v>
      </c>
    </row>
    <row r="108" spans="1:9" ht="15.75" customHeight="1">
      <c r="A108" s="175" t="s">
        <v>84</v>
      </c>
      <c r="B108" s="177"/>
      <c r="C108" s="176" t="s">
        <v>64</v>
      </c>
      <c r="D108" s="176" t="s">
        <v>75</v>
      </c>
      <c r="E108" s="177"/>
      <c r="F108" s="176" t="s">
        <v>85</v>
      </c>
      <c r="G108" s="371" t="s">
        <v>86</v>
      </c>
      <c r="H108" s="371"/>
      <c r="I108" s="368"/>
    </row>
    <row r="109" spans="1:9" ht="24.95" customHeight="1">
      <c r="A109" s="183"/>
      <c r="B109" s="177"/>
      <c r="C109" s="371" t="s">
        <v>87</v>
      </c>
      <c r="D109" s="371"/>
      <c r="E109" s="371"/>
      <c r="F109" s="371"/>
      <c r="G109" s="371"/>
      <c r="H109" s="177"/>
      <c r="I109" s="195"/>
    </row>
    <row r="110" spans="1:9" ht="15.75" customHeight="1">
      <c r="A110" s="175" t="s">
        <v>88</v>
      </c>
      <c r="B110" s="177"/>
      <c r="C110" s="176" t="s">
        <v>64</v>
      </c>
      <c r="D110" s="176" t="s">
        <v>75</v>
      </c>
      <c r="E110" s="177"/>
      <c r="F110" s="176" t="s">
        <v>86</v>
      </c>
      <c r="G110" s="371" t="s">
        <v>86</v>
      </c>
      <c r="H110" s="371"/>
      <c r="I110" s="368"/>
    </row>
    <row r="111" spans="1:9" ht="24.95" customHeight="1">
      <c r="A111" s="183"/>
      <c r="B111" s="177"/>
      <c r="C111" s="371" t="s">
        <v>89</v>
      </c>
      <c r="D111" s="371"/>
      <c r="E111" s="371"/>
      <c r="F111" s="371"/>
      <c r="G111" s="371"/>
      <c r="H111" s="177"/>
      <c r="I111" s="195"/>
    </row>
    <row r="112" spans="1:9" ht="15.75" customHeight="1">
      <c r="A112" s="183"/>
      <c r="B112" s="177"/>
      <c r="C112" s="177"/>
      <c r="D112" s="177"/>
      <c r="E112" s="177"/>
      <c r="F112" s="177"/>
      <c r="G112" s="184" t="s">
        <v>90</v>
      </c>
      <c r="H112" s="177"/>
      <c r="I112" s="196">
        <f>I105+I106</f>
        <v>0.45152153710323711</v>
      </c>
    </row>
    <row r="113" spans="1:9" ht="15.75" customHeight="1">
      <c r="A113" s="175" t="s">
        <v>91</v>
      </c>
      <c r="B113" s="177"/>
      <c r="C113" s="176" t="s">
        <v>92</v>
      </c>
      <c r="D113" s="176" t="s">
        <v>64</v>
      </c>
      <c r="E113" s="176" t="s">
        <v>75</v>
      </c>
      <c r="F113" s="177"/>
      <c r="G113" s="176" t="s">
        <v>86</v>
      </c>
      <c r="H113" s="371" t="s">
        <v>86</v>
      </c>
      <c r="I113" s="368"/>
    </row>
    <row r="114" spans="1:9" ht="24.95" customHeight="1">
      <c r="A114" s="183"/>
      <c r="B114" s="177"/>
      <c r="C114" s="371" t="s">
        <v>93</v>
      </c>
      <c r="D114" s="371"/>
      <c r="E114" s="371"/>
      <c r="F114" s="371"/>
      <c r="G114" s="371"/>
      <c r="H114" s="177"/>
      <c r="I114" s="196"/>
    </row>
    <row r="115" spans="1:9" ht="15.75" customHeight="1">
      <c r="A115" s="369" t="s">
        <v>94</v>
      </c>
      <c r="B115" s="370"/>
      <c r="C115" s="367" t="s">
        <v>64</v>
      </c>
      <c r="D115" s="367" t="s">
        <v>75</v>
      </c>
      <c r="E115" s="367" t="s">
        <v>95</v>
      </c>
      <c r="F115" s="367"/>
      <c r="G115" s="367"/>
      <c r="H115" s="170"/>
      <c r="I115" s="368" t="s">
        <v>86</v>
      </c>
    </row>
    <row r="116" spans="1:9" ht="15.75" customHeight="1">
      <c r="A116" s="369"/>
      <c r="B116" s="370"/>
      <c r="C116" s="367"/>
      <c r="D116" s="367"/>
      <c r="E116" s="176" t="s">
        <v>96</v>
      </c>
      <c r="F116" s="176" t="s">
        <v>97</v>
      </c>
      <c r="G116" s="176" t="s">
        <v>98</v>
      </c>
      <c r="H116" s="177"/>
      <c r="I116" s="368"/>
    </row>
    <row r="117" spans="1:9" ht="24.95" customHeight="1">
      <c r="A117" s="186"/>
      <c r="B117" s="170"/>
      <c r="C117" s="372" t="s">
        <v>99</v>
      </c>
      <c r="D117" s="372"/>
      <c r="E117" s="372"/>
      <c r="F117" s="372"/>
      <c r="G117" s="372"/>
      <c r="H117" s="170"/>
      <c r="I117" s="199"/>
    </row>
    <row r="118" spans="1:9" ht="15.75" customHeight="1">
      <c r="A118" s="183"/>
      <c r="B118" s="177"/>
      <c r="C118" s="177"/>
      <c r="D118" s="177"/>
      <c r="E118" s="371" t="s">
        <v>100</v>
      </c>
      <c r="F118" s="371"/>
      <c r="G118" s="371"/>
      <c r="H118" s="177"/>
      <c r="I118" s="200">
        <f>ROUNDDOWN(I112,2)</f>
        <v>0.45</v>
      </c>
    </row>
    <row r="119" spans="1:9">
      <c r="A119" s="376" t="s">
        <v>105</v>
      </c>
      <c r="B119" s="376"/>
      <c r="C119" s="376"/>
      <c r="D119" s="376"/>
      <c r="E119" s="376"/>
      <c r="F119" s="376"/>
      <c r="G119" s="377"/>
    </row>
    <row r="121" spans="1:9" ht="23.25" customHeight="1">
      <c r="A121" s="162" t="s">
        <v>52</v>
      </c>
      <c r="B121" s="163"/>
      <c r="C121" s="163"/>
      <c r="D121" s="163"/>
      <c r="E121" s="163"/>
      <c r="F121" s="163"/>
      <c r="G121" s="163"/>
      <c r="H121" s="163"/>
      <c r="I121" s="189" t="s">
        <v>53</v>
      </c>
    </row>
    <row r="122" spans="1:9" ht="18.75" customHeight="1">
      <c r="A122" s="164" t="s">
        <v>54</v>
      </c>
      <c r="B122" s="165"/>
      <c r="C122" s="165"/>
      <c r="D122" s="166" t="s">
        <v>55</v>
      </c>
      <c r="E122" s="165"/>
      <c r="F122" s="165"/>
      <c r="G122" s="167" t="s">
        <v>56</v>
      </c>
      <c r="H122" s="168">
        <v>1.4250000000000001E-2</v>
      </c>
      <c r="I122" s="190"/>
    </row>
    <row r="123" spans="1:9" ht="15.75" customHeight="1">
      <c r="A123" s="169" t="s">
        <v>57</v>
      </c>
      <c r="B123" s="170"/>
      <c r="C123" s="170"/>
      <c r="D123" s="171" t="s">
        <v>58</v>
      </c>
      <c r="E123" s="170"/>
      <c r="F123" s="170"/>
      <c r="G123" s="172" t="s">
        <v>59</v>
      </c>
      <c r="H123" s="201">
        <f>176.81*0.65</f>
        <v>114.9265</v>
      </c>
      <c r="I123" s="191" t="s">
        <v>60</v>
      </c>
    </row>
    <row r="124" spans="1:9" ht="69.75" customHeight="1">
      <c r="A124" s="202" t="s">
        <v>106</v>
      </c>
      <c r="B124" s="373" t="s">
        <v>38</v>
      </c>
      <c r="C124" s="373"/>
      <c r="D124" s="373"/>
      <c r="E124" s="373"/>
      <c r="F124" s="373"/>
      <c r="G124" s="373"/>
      <c r="H124" s="374" t="s">
        <v>62</v>
      </c>
      <c r="I124" s="375"/>
    </row>
    <row r="125" spans="1:9" ht="15.75" customHeight="1">
      <c r="A125" s="369" t="s">
        <v>63</v>
      </c>
      <c r="B125" s="370"/>
      <c r="C125" s="367" t="s">
        <v>64</v>
      </c>
      <c r="D125" s="367" t="s">
        <v>65</v>
      </c>
      <c r="E125" s="367"/>
      <c r="F125" s="367" t="s">
        <v>66</v>
      </c>
      <c r="G125" s="367"/>
      <c r="H125" s="170"/>
      <c r="I125" s="192" t="s">
        <v>67</v>
      </c>
    </row>
    <row r="126" spans="1:9" ht="15.75" customHeight="1">
      <c r="A126" s="369"/>
      <c r="B126" s="370"/>
      <c r="C126" s="367"/>
      <c r="D126" s="176" t="s">
        <v>68</v>
      </c>
      <c r="E126" s="176" t="s">
        <v>69</v>
      </c>
      <c r="F126" s="176" t="s">
        <v>70</v>
      </c>
      <c r="G126" s="176" t="s">
        <v>71</v>
      </c>
      <c r="H126" s="177"/>
      <c r="I126" s="193" t="s">
        <v>72</v>
      </c>
    </row>
    <row r="127" spans="1:9" ht="28.5">
      <c r="A127" s="178" t="str">
        <f>'INSUMOS - PREÇOS'!D9</f>
        <v>E9526</v>
      </c>
      <c r="B127" s="179" t="str">
        <f>'INSUMOS - PREÇOS'!A9</f>
        <v>Retroescavadeira de pneus com capacidade de 0,76 m³ - 58 Kw</v>
      </c>
      <c r="C127" s="180">
        <v>1</v>
      </c>
      <c r="D127" s="181">
        <v>1</v>
      </c>
      <c r="E127" s="181">
        <v>0</v>
      </c>
      <c r="F127" s="182">
        <f>'INSUMOS - PREÇOS'!F9</f>
        <v>159.5565</v>
      </c>
      <c r="G127" s="182">
        <f>'INSUMOS - PREÇOS'!G9</f>
        <v>82.704400000000007</v>
      </c>
      <c r="H127" s="170"/>
      <c r="I127" s="194">
        <f>(((D127*F127)+(E127*G127))*C127)</f>
        <v>159.5565</v>
      </c>
    </row>
    <row r="128" spans="1:9" ht="15.75" customHeight="1">
      <c r="A128" s="183"/>
      <c r="B128" s="177"/>
      <c r="C128" s="177"/>
      <c r="D128" s="177"/>
      <c r="E128" s="177"/>
      <c r="F128" s="177"/>
      <c r="G128" s="184" t="s">
        <v>73</v>
      </c>
      <c r="H128" s="177"/>
      <c r="I128" s="195">
        <f>SUM(I127)</f>
        <v>159.5565</v>
      </c>
    </row>
    <row r="129" spans="1:9" ht="15.75" customHeight="1">
      <c r="A129" s="175" t="s">
        <v>74</v>
      </c>
      <c r="B129" s="177"/>
      <c r="C129" s="176" t="s">
        <v>64</v>
      </c>
      <c r="D129" s="176" t="s">
        <v>75</v>
      </c>
      <c r="E129" s="177"/>
      <c r="F129" s="176" t="s">
        <v>66</v>
      </c>
      <c r="G129" s="371" t="s">
        <v>76</v>
      </c>
      <c r="H129" s="371"/>
      <c r="I129" s="368"/>
    </row>
    <row r="130" spans="1:9" ht="14.25">
      <c r="A130" s="178" t="str">
        <f>'INSUMOS - PREÇOS'!D10</f>
        <v>P9824</v>
      </c>
      <c r="B130" s="179" t="str">
        <f>'INSUMOS - PREÇOS'!A10</f>
        <v>Servente</v>
      </c>
      <c r="C130" s="180">
        <v>1</v>
      </c>
      <c r="D130" s="185" t="s">
        <v>77</v>
      </c>
      <c r="E130" s="170"/>
      <c r="F130" s="182">
        <f>'INSUMOS - PREÇOS'!F10</f>
        <v>20.681000000000001</v>
      </c>
      <c r="G130" s="170"/>
      <c r="H130" s="170"/>
      <c r="I130" s="194">
        <f>C130*F130</f>
        <v>20.681000000000001</v>
      </c>
    </row>
    <row r="131" spans="1:9" ht="15.75" customHeight="1">
      <c r="A131" s="186"/>
      <c r="B131" s="170"/>
      <c r="C131" s="372" t="s">
        <v>78</v>
      </c>
      <c r="D131" s="372"/>
      <c r="E131" s="372"/>
      <c r="F131" s="372"/>
      <c r="G131" s="372"/>
      <c r="H131" s="170"/>
      <c r="I131" s="194">
        <f>SUM(I130)</f>
        <v>20.681000000000001</v>
      </c>
    </row>
    <row r="132" spans="1:9" ht="15.75" customHeight="1">
      <c r="A132" s="183"/>
      <c r="B132" s="177"/>
      <c r="C132" s="371" t="s">
        <v>79</v>
      </c>
      <c r="D132" s="371"/>
      <c r="E132" s="371"/>
      <c r="F132" s="371"/>
      <c r="G132" s="371"/>
      <c r="H132" s="177"/>
      <c r="I132" s="196">
        <f>SUM(I128,I131)</f>
        <v>180.23750000000001</v>
      </c>
    </row>
    <row r="133" spans="1:9" ht="15.75" customHeight="1">
      <c r="A133" s="186"/>
      <c r="B133" s="170"/>
      <c r="C133" s="372" t="s">
        <v>80</v>
      </c>
      <c r="D133" s="372"/>
      <c r="E133" s="372"/>
      <c r="F133" s="372"/>
      <c r="G133" s="372"/>
      <c r="H133" s="170"/>
      <c r="I133" s="197">
        <f>I132/H123</f>
        <v>1.568284947335906</v>
      </c>
    </row>
    <row r="134" spans="1:9" ht="15.75" customHeight="1">
      <c r="A134" s="186"/>
      <c r="B134" s="170"/>
      <c r="C134" s="170"/>
      <c r="D134" s="170"/>
      <c r="E134" s="170"/>
      <c r="F134" s="170"/>
      <c r="G134" s="187" t="s">
        <v>81</v>
      </c>
      <c r="H134" s="170"/>
      <c r="I134" s="198">
        <f>ROUNDUP(H122*I133,4)</f>
        <v>2.24E-2</v>
      </c>
    </row>
    <row r="135" spans="1:9" ht="15.75" customHeight="1">
      <c r="A135" s="183"/>
      <c r="B135" s="177"/>
      <c r="C135" s="177"/>
      <c r="D135" s="177"/>
      <c r="E135" s="177"/>
      <c r="F135" s="177"/>
      <c r="G135" s="184" t="s">
        <v>82</v>
      </c>
      <c r="H135" s="177"/>
      <c r="I135" s="196" t="s">
        <v>83</v>
      </c>
    </row>
    <row r="136" spans="1:9" ht="15.75" customHeight="1">
      <c r="A136" s="175" t="s">
        <v>84</v>
      </c>
      <c r="B136" s="177"/>
      <c r="C136" s="176" t="s">
        <v>64</v>
      </c>
      <c r="D136" s="176" t="s">
        <v>75</v>
      </c>
      <c r="E136" s="177"/>
      <c r="F136" s="176" t="s">
        <v>85</v>
      </c>
      <c r="G136" s="371" t="s">
        <v>86</v>
      </c>
      <c r="H136" s="371"/>
      <c r="I136" s="368"/>
    </row>
    <row r="137" spans="1:9" ht="24.95" customHeight="1">
      <c r="A137" s="183"/>
      <c r="B137" s="177"/>
      <c r="C137" s="371" t="s">
        <v>87</v>
      </c>
      <c r="D137" s="371"/>
      <c r="E137" s="371"/>
      <c r="F137" s="371"/>
      <c r="G137" s="371"/>
      <c r="H137" s="177"/>
      <c r="I137" s="195"/>
    </row>
    <row r="138" spans="1:9" ht="15.75" customHeight="1">
      <c r="A138" s="175" t="s">
        <v>88</v>
      </c>
      <c r="B138" s="177"/>
      <c r="C138" s="176" t="s">
        <v>64</v>
      </c>
      <c r="D138" s="176" t="s">
        <v>75</v>
      </c>
      <c r="E138" s="177"/>
      <c r="F138" s="176" t="s">
        <v>86</v>
      </c>
      <c r="G138" s="371" t="s">
        <v>86</v>
      </c>
      <c r="H138" s="371"/>
      <c r="I138" s="368"/>
    </row>
    <row r="139" spans="1:9" ht="24.95" customHeight="1">
      <c r="A139" s="183"/>
      <c r="B139" s="177"/>
      <c r="C139" s="371" t="s">
        <v>89</v>
      </c>
      <c r="D139" s="371"/>
      <c r="E139" s="371"/>
      <c r="F139" s="371"/>
      <c r="G139" s="371"/>
      <c r="H139" s="177"/>
      <c r="I139" s="195"/>
    </row>
    <row r="140" spans="1:9" ht="15.75" customHeight="1">
      <c r="A140" s="183"/>
      <c r="B140" s="177"/>
      <c r="C140" s="177"/>
      <c r="D140" s="177"/>
      <c r="E140" s="177"/>
      <c r="F140" s="177"/>
      <c r="G140" s="184" t="s">
        <v>90</v>
      </c>
      <c r="H140" s="177"/>
      <c r="I140" s="196">
        <f>ROUNDDOWN(I133+I134,4)</f>
        <v>1.5906</v>
      </c>
    </row>
    <row r="141" spans="1:9" ht="15.75" customHeight="1">
      <c r="A141" s="175" t="s">
        <v>91</v>
      </c>
      <c r="B141" s="177"/>
      <c r="C141" s="176" t="s">
        <v>92</v>
      </c>
      <c r="D141" s="176" t="s">
        <v>64</v>
      </c>
      <c r="E141" s="176" t="s">
        <v>75</v>
      </c>
      <c r="F141" s="177"/>
      <c r="G141" s="176" t="s">
        <v>86</v>
      </c>
      <c r="H141" s="371" t="s">
        <v>86</v>
      </c>
      <c r="I141" s="368"/>
    </row>
    <row r="142" spans="1:9" ht="24.95" customHeight="1">
      <c r="A142" s="183"/>
      <c r="B142" s="177"/>
      <c r="C142" s="371" t="s">
        <v>93</v>
      </c>
      <c r="D142" s="371"/>
      <c r="E142" s="371"/>
      <c r="F142" s="371"/>
      <c r="G142" s="371"/>
      <c r="H142" s="177"/>
      <c r="I142" s="196"/>
    </row>
    <row r="143" spans="1:9" ht="15.75" customHeight="1">
      <c r="A143" s="369" t="s">
        <v>94</v>
      </c>
      <c r="B143" s="370"/>
      <c r="C143" s="367" t="s">
        <v>64</v>
      </c>
      <c r="D143" s="367" t="s">
        <v>75</v>
      </c>
      <c r="E143" s="367" t="s">
        <v>95</v>
      </c>
      <c r="F143" s="367"/>
      <c r="G143" s="367"/>
      <c r="H143" s="170"/>
      <c r="I143" s="368" t="s">
        <v>86</v>
      </c>
    </row>
    <row r="144" spans="1:9" ht="15.75" customHeight="1">
      <c r="A144" s="369"/>
      <c r="B144" s="370"/>
      <c r="C144" s="367"/>
      <c r="D144" s="367"/>
      <c r="E144" s="176" t="s">
        <v>96</v>
      </c>
      <c r="F144" s="176" t="s">
        <v>97</v>
      </c>
      <c r="G144" s="176" t="s">
        <v>98</v>
      </c>
      <c r="H144" s="177"/>
      <c r="I144" s="368"/>
    </row>
    <row r="145" spans="1:9" ht="24.95" customHeight="1">
      <c r="A145" s="186"/>
      <c r="B145" s="170"/>
      <c r="C145" s="372" t="s">
        <v>99</v>
      </c>
      <c r="D145" s="372"/>
      <c r="E145" s="372"/>
      <c r="F145" s="372"/>
      <c r="G145" s="372"/>
      <c r="H145" s="170"/>
      <c r="I145" s="199"/>
    </row>
    <row r="146" spans="1:9" ht="15.75" customHeight="1">
      <c r="A146" s="183"/>
      <c r="B146" s="177"/>
      <c r="C146" s="177"/>
      <c r="D146" s="177"/>
      <c r="E146" s="371" t="s">
        <v>100</v>
      </c>
      <c r="F146" s="371"/>
      <c r="G146" s="371"/>
      <c r="H146" s="177"/>
      <c r="I146" s="200">
        <f>ROUNDDOWN(I133+I134,2)</f>
        <v>1.59</v>
      </c>
    </row>
    <row r="147" spans="1:9">
      <c r="A147" s="376" t="s">
        <v>105</v>
      </c>
      <c r="B147" s="376"/>
      <c r="C147" s="376"/>
      <c r="D147" s="376"/>
      <c r="E147" s="376"/>
      <c r="F147" s="376"/>
      <c r="G147" s="377"/>
    </row>
    <row r="149" spans="1:9" ht="23.25" customHeight="1">
      <c r="A149" s="162" t="s">
        <v>52</v>
      </c>
      <c r="B149" s="163"/>
      <c r="C149" s="163"/>
      <c r="D149" s="163"/>
      <c r="E149" s="163"/>
      <c r="F149" s="163"/>
      <c r="G149" s="163"/>
      <c r="H149" s="163"/>
      <c r="I149" s="189" t="s">
        <v>53</v>
      </c>
    </row>
    <row r="150" spans="1:9" ht="18.75" customHeight="1">
      <c r="A150" s="164" t="s">
        <v>54</v>
      </c>
      <c r="B150" s="165"/>
      <c r="C150" s="165"/>
      <c r="D150" s="166" t="s">
        <v>55</v>
      </c>
      <c r="E150" s="165"/>
      <c r="F150" s="165"/>
      <c r="G150" s="167" t="s">
        <v>56</v>
      </c>
      <c r="H150" s="168">
        <v>1.4250000000000001E-2</v>
      </c>
      <c r="I150" s="190"/>
    </row>
    <row r="151" spans="1:9" ht="15.75" customHeight="1">
      <c r="A151" s="169" t="s">
        <v>57</v>
      </c>
      <c r="B151" s="170"/>
      <c r="C151" s="170"/>
      <c r="D151" s="171" t="s">
        <v>58</v>
      </c>
      <c r="E151" s="170"/>
      <c r="F151" s="170"/>
      <c r="G151" s="172" t="s">
        <v>59</v>
      </c>
      <c r="H151" s="173">
        <v>609.78</v>
      </c>
      <c r="I151" s="191" t="s">
        <v>107</v>
      </c>
    </row>
    <row r="152" spans="1:9" ht="30" customHeight="1">
      <c r="A152" s="174" t="s">
        <v>108</v>
      </c>
      <c r="B152" s="373" t="s">
        <v>109</v>
      </c>
      <c r="C152" s="373"/>
      <c r="D152" s="373"/>
      <c r="E152" s="373"/>
      <c r="F152" s="373"/>
      <c r="G152" s="373"/>
      <c r="H152" s="374" t="s">
        <v>62</v>
      </c>
      <c r="I152" s="375"/>
    </row>
    <row r="153" spans="1:9" ht="15.75" customHeight="1">
      <c r="A153" s="369" t="s">
        <v>63</v>
      </c>
      <c r="B153" s="370"/>
      <c r="C153" s="367" t="s">
        <v>64</v>
      </c>
      <c r="D153" s="367" t="s">
        <v>65</v>
      </c>
      <c r="E153" s="367"/>
      <c r="F153" s="367" t="s">
        <v>66</v>
      </c>
      <c r="G153" s="367"/>
      <c r="H153" s="170"/>
      <c r="I153" s="192" t="s">
        <v>67</v>
      </c>
    </row>
    <row r="154" spans="1:9" ht="15.75" customHeight="1">
      <c r="A154" s="369"/>
      <c r="B154" s="370"/>
      <c r="C154" s="367"/>
      <c r="D154" s="176" t="s">
        <v>68</v>
      </c>
      <c r="E154" s="176" t="s">
        <v>69</v>
      </c>
      <c r="F154" s="176" t="s">
        <v>70</v>
      </c>
      <c r="G154" s="176" t="s">
        <v>71</v>
      </c>
      <c r="H154" s="177"/>
      <c r="I154" s="193" t="s">
        <v>72</v>
      </c>
    </row>
    <row r="155" spans="1:9" ht="28.5">
      <c r="A155" s="178" t="str">
        <f>'INSUMOS - PREÇOS'!D6</f>
        <v>E9666</v>
      </c>
      <c r="B155" s="179" t="str">
        <f>'INSUMOS - PREÇOS'!A6</f>
        <v>Cavalo mecânico com semirreboque com capacidade de 30 t - 265 kW</v>
      </c>
      <c r="C155" s="180">
        <v>1</v>
      </c>
      <c r="D155" s="181">
        <v>1</v>
      </c>
      <c r="E155" s="181">
        <v>0</v>
      </c>
      <c r="F155" s="182">
        <f>'INSUMOS - PREÇOS'!F6</f>
        <v>420.5247</v>
      </c>
      <c r="G155" s="182">
        <f>'INSUMOS - PREÇOS'!G6</f>
        <v>132.48570000000001</v>
      </c>
      <c r="H155" s="170"/>
      <c r="I155" s="194">
        <f>(((D155*F155)+(E155*G155))*C155)</f>
        <v>420.5247</v>
      </c>
    </row>
    <row r="156" spans="1:9" ht="15.75" customHeight="1">
      <c r="A156" s="183"/>
      <c r="B156" s="177"/>
      <c r="C156" s="177"/>
      <c r="D156" s="177"/>
      <c r="E156" s="177"/>
      <c r="F156" s="177"/>
      <c r="G156" s="184" t="s">
        <v>73</v>
      </c>
      <c r="H156" s="177"/>
      <c r="I156" s="195">
        <f>SUM(I155)</f>
        <v>420.5247</v>
      </c>
    </row>
    <row r="157" spans="1:9" ht="15.75" customHeight="1">
      <c r="A157" s="175" t="s">
        <v>74</v>
      </c>
      <c r="B157" s="177"/>
      <c r="C157" s="176" t="s">
        <v>64</v>
      </c>
      <c r="D157" s="176" t="s">
        <v>75</v>
      </c>
      <c r="E157" s="177"/>
      <c r="F157" s="176" t="s">
        <v>66</v>
      </c>
      <c r="G157" s="371" t="s">
        <v>76</v>
      </c>
      <c r="H157" s="371"/>
      <c r="I157" s="368"/>
    </row>
    <row r="158" spans="1:9" ht="24.95" customHeight="1">
      <c r="A158" s="186"/>
      <c r="B158" s="170"/>
      <c r="C158" s="372" t="s">
        <v>78</v>
      </c>
      <c r="D158" s="372"/>
      <c r="E158" s="372"/>
      <c r="F158" s="372"/>
      <c r="G158" s="372"/>
      <c r="H158" s="170"/>
      <c r="I158" s="194"/>
    </row>
    <row r="159" spans="1:9" ht="15.75" customHeight="1">
      <c r="A159" s="183"/>
      <c r="B159" s="177"/>
      <c r="C159" s="371" t="s">
        <v>79</v>
      </c>
      <c r="D159" s="371"/>
      <c r="E159" s="371"/>
      <c r="F159" s="371"/>
      <c r="G159" s="371"/>
      <c r="H159" s="177"/>
      <c r="I159" s="196">
        <f>I156</f>
        <v>420.5247</v>
      </c>
    </row>
    <row r="160" spans="1:9" ht="15.75" customHeight="1">
      <c r="A160" s="186"/>
      <c r="B160" s="170"/>
      <c r="C160" s="372" t="s">
        <v>80</v>
      </c>
      <c r="D160" s="372"/>
      <c r="E160" s="372"/>
      <c r="F160" s="372"/>
      <c r="G160" s="372"/>
      <c r="H160" s="170"/>
      <c r="I160" s="197">
        <f>I159/H151</f>
        <v>0.68963347436780476</v>
      </c>
    </row>
    <row r="161" spans="1:9" ht="15.75" customHeight="1">
      <c r="A161" s="186"/>
      <c r="B161" s="170"/>
      <c r="C161" s="170"/>
      <c r="D161" s="170"/>
      <c r="E161" s="170"/>
      <c r="F161" s="170"/>
      <c r="G161" s="187" t="s">
        <v>81</v>
      </c>
      <c r="H161" s="170"/>
      <c r="I161" s="197">
        <f>ROUNDDOWN(I160*H150,4)</f>
        <v>9.7999999999999997E-3</v>
      </c>
    </row>
    <row r="162" spans="1:9" ht="15.75" customHeight="1">
      <c r="A162" s="183"/>
      <c r="B162" s="177"/>
      <c r="C162" s="177"/>
      <c r="D162" s="177"/>
      <c r="E162" s="177"/>
      <c r="F162" s="177"/>
      <c r="G162" s="184" t="s">
        <v>82</v>
      </c>
      <c r="H162" s="177"/>
      <c r="I162" s="196" t="s">
        <v>83</v>
      </c>
    </row>
    <row r="163" spans="1:9" ht="15.75" customHeight="1">
      <c r="A163" s="175" t="s">
        <v>84</v>
      </c>
      <c r="B163" s="177"/>
      <c r="C163" s="176" t="s">
        <v>64</v>
      </c>
      <c r="D163" s="176" t="s">
        <v>75</v>
      </c>
      <c r="E163" s="177"/>
      <c r="F163" s="176" t="s">
        <v>85</v>
      </c>
      <c r="G163" s="371" t="s">
        <v>86</v>
      </c>
      <c r="H163" s="371"/>
      <c r="I163" s="368"/>
    </row>
    <row r="164" spans="1:9" ht="24.95" customHeight="1">
      <c r="A164" s="183"/>
      <c r="B164" s="177"/>
      <c r="C164" s="371" t="s">
        <v>87</v>
      </c>
      <c r="D164" s="371"/>
      <c r="E164" s="371"/>
      <c r="F164" s="371"/>
      <c r="G164" s="371"/>
      <c r="H164" s="177"/>
      <c r="I164" s="195"/>
    </row>
    <row r="165" spans="1:9" ht="15.75" customHeight="1">
      <c r="A165" s="175" t="s">
        <v>88</v>
      </c>
      <c r="B165" s="177"/>
      <c r="C165" s="176" t="s">
        <v>64</v>
      </c>
      <c r="D165" s="176" t="s">
        <v>75</v>
      </c>
      <c r="E165" s="177"/>
      <c r="F165" s="176" t="s">
        <v>86</v>
      </c>
      <c r="G165" s="371" t="s">
        <v>86</v>
      </c>
      <c r="H165" s="371"/>
      <c r="I165" s="368"/>
    </row>
    <row r="166" spans="1:9" ht="24.95" customHeight="1">
      <c r="A166" s="183"/>
      <c r="B166" s="177"/>
      <c r="C166" s="371" t="s">
        <v>89</v>
      </c>
      <c r="D166" s="371"/>
      <c r="E166" s="371"/>
      <c r="F166" s="371"/>
      <c r="G166" s="371"/>
      <c r="H166" s="177"/>
      <c r="I166" s="195"/>
    </row>
    <row r="167" spans="1:9" ht="15.75" customHeight="1">
      <c r="A167" s="183"/>
      <c r="B167" s="177"/>
      <c r="C167" s="177"/>
      <c r="D167" s="177"/>
      <c r="E167" s="177"/>
      <c r="F167" s="177"/>
      <c r="G167" s="184" t="s">
        <v>90</v>
      </c>
      <c r="H167" s="177"/>
      <c r="I167" s="196">
        <f>SUM(I160,I161)</f>
        <v>0.69943347436780479</v>
      </c>
    </row>
    <row r="168" spans="1:9" ht="15.75" customHeight="1">
      <c r="A168" s="175" t="s">
        <v>91</v>
      </c>
      <c r="B168" s="177"/>
      <c r="C168" s="176" t="s">
        <v>92</v>
      </c>
      <c r="D168" s="176" t="s">
        <v>64</v>
      </c>
      <c r="E168" s="176" t="s">
        <v>75</v>
      </c>
      <c r="F168" s="177"/>
      <c r="G168" s="176" t="s">
        <v>86</v>
      </c>
      <c r="H168" s="371" t="s">
        <v>86</v>
      </c>
      <c r="I168" s="368"/>
    </row>
    <row r="169" spans="1:9" ht="24.95" customHeight="1">
      <c r="A169" s="183"/>
      <c r="B169" s="177"/>
      <c r="C169" s="371" t="s">
        <v>93</v>
      </c>
      <c r="D169" s="371"/>
      <c r="E169" s="371"/>
      <c r="F169" s="371"/>
      <c r="G169" s="371"/>
      <c r="H169" s="177"/>
      <c r="I169" s="196"/>
    </row>
    <row r="170" spans="1:9" ht="15.75" customHeight="1">
      <c r="A170" s="369" t="s">
        <v>94</v>
      </c>
      <c r="B170" s="370"/>
      <c r="C170" s="367" t="s">
        <v>64</v>
      </c>
      <c r="D170" s="367" t="s">
        <v>75</v>
      </c>
      <c r="E170" s="367" t="s">
        <v>95</v>
      </c>
      <c r="F170" s="367"/>
      <c r="G170" s="367"/>
      <c r="H170" s="170"/>
      <c r="I170" s="368" t="s">
        <v>86</v>
      </c>
    </row>
    <row r="171" spans="1:9" ht="15.75" customHeight="1">
      <c r="A171" s="369"/>
      <c r="B171" s="370"/>
      <c r="C171" s="367"/>
      <c r="D171" s="367"/>
      <c r="E171" s="176" t="s">
        <v>96</v>
      </c>
      <c r="F171" s="176" t="s">
        <v>97</v>
      </c>
      <c r="G171" s="176" t="s">
        <v>98</v>
      </c>
      <c r="H171" s="177"/>
      <c r="I171" s="368"/>
    </row>
    <row r="172" spans="1:9" ht="24.95" customHeight="1">
      <c r="A172" s="186"/>
      <c r="B172" s="170"/>
      <c r="C172" s="372" t="s">
        <v>99</v>
      </c>
      <c r="D172" s="372"/>
      <c r="E172" s="372"/>
      <c r="F172" s="372"/>
      <c r="G172" s="372"/>
      <c r="H172" s="170"/>
      <c r="I172" s="199"/>
    </row>
    <row r="173" spans="1:9" ht="15.75" customHeight="1">
      <c r="A173" s="183"/>
      <c r="B173" s="177"/>
      <c r="C173" s="177"/>
      <c r="D173" s="177"/>
      <c r="E173" s="371" t="s">
        <v>100</v>
      </c>
      <c r="F173" s="371"/>
      <c r="G173" s="371"/>
      <c r="H173" s="177"/>
      <c r="I173" s="200">
        <f>ROUNDUP(I167,2)</f>
        <v>0.7</v>
      </c>
    </row>
    <row r="176" spans="1:9" ht="23.25" customHeight="1">
      <c r="A176" s="162" t="s">
        <v>52</v>
      </c>
      <c r="B176" s="163"/>
      <c r="C176" s="163"/>
      <c r="D176" s="163"/>
      <c r="E176" s="163"/>
      <c r="F176" s="163"/>
      <c r="G176" s="163"/>
      <c r="H176" s="163"/>
      <c r="I176" s="189" t="s">
        <v>53</v>
      </c>
    </row>
    <row r="177" spans="1:9" ht="18.75" customHeight="1">
      <c r="A177" s="164" t="s">
        <v>54</v>
      </c>
      <c r="B177" s="165"/>
      <c r="C177" s="165"/>
      <c r="D177" s="166" t="s">
        <v>55</v>
      </c>
      <c r="E177" s="165"/>
      <c r="F177" s="165"/>
      <c r="G177" s="167" t="s">
        <v>56</v>
      </c>
      <c r="H177" s="168">
        <v>0</v>
      </c>
      <c r="I177" s="190"/>
    </row>
    <row r="178" spans="1:9" ht="15.75" customHeight="1">
      <c r="A178" s="169" t="s">
        <v>57</v>
      </c>
      <c r="B178" s="170"/>
      <c r="C178" s="170"/>
      <c r="D178" s="171" t="s">
        <v>58</v>
      </c>
      <c r="E178" s="170"/>
      <c r="F178" s="170"/>
      <c r="G178" s="172" t="s">
        <v>59</v>
      </c>
      <c r="H178" s="173">
        <v>731.74</v>
      </c>
      <c r="I178" s="191" t="s">
        <v>107</v>
      </c>
    </row>
    <row r="179" spans="1:9" ht="30" customHeight="1">
      <c r="A179" s="174" t="s">
        <v>110</v>
      </c>
      <c r="B179" s="373" t="s">
        <v>111</v>
      </c>
      <c r="C179" s="373"/>
      <c r="D179" s="373"/>
      <c r="E179" s="373"/>
      <c r="F179" s="373"/>
      <c r="G179" s="373"/>
      <c r="H179" s="374" t="s">
        <v>62</v>
      </c>
      <c r="I179" s="375"/>
    </row>
    <row r="180" spans="1:9" ht="15.75" customHeight="1">
      <c r="A180" s="369" t="s">
        <v>63</v>
      </c>
      <c r="B180" s="370"/>
      <c r="C180" s="367" t="s">
        <v>64</v>
      </c>
      <c r="D180" s="367" t="s">
        <v>65</v>
      </c>
      <c r="E180" s="367"/>
      <c r="F180" s="367" t="s">
        <v>66</v>
      </c>
      <c r="G180" s="367"/>
      <c r="H180" s="170"/>
      <c r="I180" s="192" t="s">
        <v>67</v>
      </c>
    </row>
    <row r="181" spans="1:9" ht="15.75" customHeight="1">
      <c r="A181" s="369"/>
      <c r="B181" s="370"/>
      <c r="C181" s="367"/>
      <c r="D181" s="176" t="s">
        <v>68</v>
      </c>
      <c r="E181" s="176" t="s">
        <v>69</v>
      </c>
      <c r="F181" s="176" t="s">
        <v>70</v>
      </c>
      <c r="G181" s="176" t="s">
        <v>71</v>
      </c>
      <c r="H181" s="177"/>
      <c r="I181" s="193" t="s">
        <v>72</v>
      </c>
    </row>
    <row r="182" spans="1:9" ht="28.5">
      <c r="A182" s="178" t="str">
        <f>'INSUMOS - PREÇOS'!D6</f>
        <v>E9666</v>
      </c>
      <c r="B182" s="179" t="str">
        <f>'INSUMOS - PREÇOS'!A6</f>
        <v>Cavalo mecânico com semirreboque com capacidade de 30 t - 265 kW</v>
      </c>
      <c r="C182" s="180">
        <v>1</v>
      </c>
      <c r="D182" s="181">
        <v>1</v>
      </c>
      <c r="E182" s="181">
        <v>0</v>
      </c>
      <c r="F182" s="182">
        <f>'INSUMOS - PREÇOS'!F6</f>
        <v>420.5247</v>
      </c>
      <c r="G182" s="182">
        <f>'INSUMOS - PREÇOS'!G6</f>
        <v>132.48570000000001</v>
      </c>
      <c r="H182" s="170"/>
      <c r="I182" s="194">
        <f>(((D182*F182)+(E182*G182))*C182)</f>
        <v>420.5247</v>
      </c>
    </row>
    <row r="183" spans="1:9" ht="15.75" customHeight="1">
      <c r="A183" s="183"/>
      <c r="B183" s="177"/>
      <c r="C183" s="177"/>
      <c r="D183" s="177"/>
      <c r="E183" s="177"/>
      <c r="F183" s="177"/>
      <c r="G183" s="184" t="s">
        <v>73</v>
      </c>
      <c r="H183" s="177"/>
      <c r="I183" s="195">
        <f>SUM(I182)</f>
        <v>420.5247</v>
      </c>
    </row>
    <row r="184" spans="1:9" ht="15.75" customHeight="1">
      <c r="A184" s="175" t="s">
        <v>74</v>
      </c>
      <c r="B184" s="177"/>
      <c r="C184" s="176" t="s">
        <v>64</v>
      </c>
      <c r="D184" s="176" t="s">
        <v>75</v>
      </c>
      <c r="E184" s="177"/>
      <c r="F184" s="176" t="s">
        <v>66</v>
      </c>
      <c r="G184" s="371" t="s">
        <v>76</v>
      </c>
      <c r="H184" s="371"/>
      <c r="I184" s="368"/>
    </row>
    <row r="185" spans="1:9" ht="24.95" customHeight="1">
      <c r="A185" s="186"/>
      <c r="B185" s="170"/>
      <c r="C185" s="372" t="s">
        <v>78</v>
      </c>
      <c r="D185" s="372"/>
      <c r="E185" s="372"/>
      <c r="F185" s="372"/>
      <c r="G185" s="372"/>
      <c r="H185" s="170"/>
      <c r="I185" s="194"/>
    </row>
    <row r="186" spans="1:9" ht="15.75" customHeight="1">
      <c r="A186" s="183"/>
      <c r="B186" s="177"/>
      <c r="C186" s="371" t="s">
        <v>79</v>
      </c>
      <c r="D186" s="371"/>
      <c r="E186" s="371"/>
      <c r="F186" s="371"/>
      <c r="G186" s="371"/>
      <c r="H186" s="177"/>
      <c r="I186" s="196">
        <f>I183</f>
        <v>420.5247</v>
      </c>
    </row>
    <row r="187" spans="1:9" ht="15.75" customHeight="1">
      <c r="A187" s="186"/>
      <c r="B187" s="170"/>
      <c r="C187" s="372" t="s">
        <v>80</v>
      </c>
      <c r="D187" s="372"/>
      <c r="E187" s="372"/>
      <c r="F187" s="372"/>
      <c r="G187" s="372"/>
      <c r="H187" s="170"/>
      <c r="I187" s="197">
        <f>I186/H178</f>
        <v>0.57469142044988653</v>
      </c>
    </row>
    <row r="188" spans="1:9" ht="15.75" customHeight="1">
      <c r="A188" s="186"/>
      <c r="B188" s="170"/>
      <c r="C188" s="170"/>
      <c r="D188" s="170"/>
      <c r="E188" s="170"/>
      <c r="F188" s="170"/>
      <c r="G188" s="187" t="s">
        <v>81</v>
      </c>
      <c r="H188" s="170"/>
      <c r="I188" s="198">
        <f>ROUNDUP(I187*H177,4)</f>
        <v>0</v>
      </c>
    </row>
    <row r="189" spans="1:9" ht="15.75" customHeight="1">
      <c r="A189" s="183"/>
      <c r="B189" s="177"/>
      <c r="C189" s="177"/>
      <c r="D189" s="177"/>
      <c r="E189" s="177"/>
      <c r="F189" s="177"/>
      <c r="G189" s="184" t="s">
        <v>82</v>
      </c>
      <c r="H189" s="177"/>
      <c r="I189" s="196" t="s">
        <v>83</v>
      </c>
    </row>
    <row r="190" spans="1:9" ht="15.75" customHeight="1">
      <c r="A190" s="175" t="s">
        <v>84</v>
      </c>
      <c r="B190" s="177"/>
      <c r="C190" s="176" t="s">
        <v>64</v>
      </c>
      <c r="D190" s="176" t="s">
        <v>75</v>
      </c>
      <c r="E190" s="177"/>
      <c r="F190" s="176" t="s">
        <v>85</v>
      </c>
      <c r="G190" s="371" t="s">
        <v>86</v>
      </c>
      <c r="H190" s="371"/>
      <c r="I190" s="368"/>
    </row>
    <row r="191" spans="1:9" ht="24.95" customHeight="1">
      <c r="A191" s="183"/>
      <c r="B191" s="177"/>
      <c r="C191" s="371" t="s">
        <v>87</v>
      </c>
      <c r="D191" s="371"/>
      <c r="E191" s="371"/>
      <c r="F191" s="371"/>
      <c r="G191" s="371"/>
      <c r="H191" s="177"/>
      <c r="I191" s="195"/>
    </row>
    <row r="192" spans="1:9" ht="15.75" customHeight="1">
      <c r="A192" s="175" t="s">
        <v>88</v>
      </c>
      <c r="B192" s="177"/>
      <c r="C192" s="176" t="s">
        <v>64</v>
      </c>
      <c r="D192" s="176" t="s">
        <v>75</v>
      </c>
      <c r="E192" s="177"/>
      <c r="F192" s="176" t="s">
        <v>86</v>
      </c>
      <c r="G192" s="371" t="s">
        <v>86</v>
      </c>
      <c r="H192" s="371"/>
      <c r="I192" s="368"/>
    </row>
    <row r="193" spans="1:9" ht="24.95" customHeight="1">
      <c r="A193" s="183"/>
      <c r="B193" s="177"/>
      <c r="C193" s="371" t="s">
        <v>89</v>
      </c>
      <c r="D193" s="371"/>
      <c r="E193" s="371"/>
      <c r="F193" s="371"/>
      <c r="G193" s="371"/>
      <c r="H193" s="177"/>
      <c r="I193" s="195"/>
    </row>
    <row r="194" spans="1:9" ht="15.75" customHeight="1">
      <c r="A194" s="183"/>
      <c r="B194" s="177"/>
      <c r="C194" s="177"/>
      <c r="D194" s="177"/>
      <c r="E194" s="177"/>
      <c r="F194" s="177"/>
      <c r="G194" s="184" t="s">
        <v>90</v>
      </c>
      <c r="H194" s="177"/>
      <c r="I194" s="196">
        <f>SUM(I187,I188)</f>
        <v>0.57469142044988653</v>
      </c>
    </row>
    <row r="195" spans="1:9" ht="15.75" customHeight="1">
      <c r="A195" s="175" t="s">
        <v>91</v>
      </c>
      <c r="B195" s="177"/>
      <c r="C195" s="176" t="s">
        <v>92</v>
      </c>
      <c r="D195" s="176" t="s">
        <v>64</v>
      </c>
      <c r="E195" s="176" t="s">
        <v>75</v>
      </c>
      <c r="F195" s="177"/>
      <c r="G195" s="176" t="s">
        <v>86</v>
      </c>
      <c r="H195" s="371" t="s">
        <v>86</v>
      </c>
      <c r="I195" s="368"/>
    </row>
    <row r="196" spans="1:9" ht="24.95" customHeight="1">
      <c r="A196" s="183"/>
      <c r="B196" s="177"/>
      <c r="C196" s="371" t="s">
        <v>93</v>
      </c>
      <c r="D196" s="371"/>
      <c r="E196" s="371"/>
      <c r="F196" s="371"/>
      <c r="G196" s="371"/>
      <c r="H196" s="177"/>
      <c r="I196" s="196"/>
    </row>
    <row r="197" spans="1:9" ht="15.75" customHeight="1">
      <c r="A197" s="369" t="s">
        <v>94</v>
      </c>
      <c r="B197" s="370"/>
      <c r="C197" s="367" t="s">
        <v>64</v>
      </c>
      <c r="D197" s="367" t="s">
        <v>75</v>
      </c>
      <c r="E197" s="367" t="s">
        <v>95</v>
      </c>
      <c r="F197" s="367"/>
      <c r="G197" s="367"/>
      <c r="H197" s="170"/>
      <c r="I197" s="368" t="s">
        <v>86</v>
      </c>
    </row>
    <row r="198" spans="1:9" ht="15.75" customHeight="1">
      <c r="A198" s="369"/>
      <c r="B198" s="370"/>
      <c r="C198" s="367"/>
      <c r="D198" s="367"/>
      <c r="E198" s="176" t="s">
        <v>96</v>
      </c>
      <c r="F198" s="176" t="s">
        <v>97</v>
      </c>
      <c r="G198" s="176" t="s">
        <v>98</v>
      </c>
      <c r="H198" s="177"/>
      <c r="I198" s="368"/>
    </row>
    <row r="199" spans="1:9" ht="24.95" customHeight="1">
      <c r="A199" s="186"/>
      <c r="B199" s="170"/>
      <c r="C199" s="372" t="s">
        <v>99</v>
      </c>
      <c r="D199" s="372"/>
      <c r="E199" s="372"/>
      <c r="F199" s="372"/>
      <c r="G199" s="372"/>
      <c r="H199" s="170"/>
      <c r="I199" s="199"/>
    </row>
    <row r="200" spans="1:9" ht="15.75" customHeight="1">
      <c r="A200" s="183"/>
      <c r="B200" s="177"/>
      <c r="C200" s="177"/>
      <c r="D200" s="177"/>
      <c r="E200" s="371" t="s">
        <v>100</v>
      </c>
      <c r="F200" s="371"/>
      <c r="G200" s="371"/>
      <c r="H200" s="177"/>
      <c r="I200" s="200">
        <f>ROUNDDOWN(I194,2)</f>
        <v>0.56999999999999995</v>
      </c>
    </row>
  </sheetData>
  <mergeCells count="167">
    <mergeCell ref="B1:I1"/>
    <mergeCell ref="B2:I2"/>
    <mergeCell ref="B3:I3"/>
    <mergeCell ref="A5:I5"/>
    <mergeCell ref="B11:G11"/>
    <mergeCell ref="H11:I11"/>
    <mergeCell ref="D12:E12"/>
    <mergeCell ref="F12:G12"/>
    <mergeCell ref="G16:I16"/>
    <mergeCell ref="A12:B13"/>
    <mergeCell ref="C18:G18"/>
    <mergeCell ref="C19:G19"/>
    <mergeCell ref="C20:G20"/>
    <mergeCell ref="G23:I23"/>
    <mergeCell ref="C24:G24"/>
    <mergeCell ref="G25:I25"/>
    <mergeCell ref="C26:G26"/>
    <mergeCell ref="H28:I28"/>
    <mergeCell ref="C29:G29"/>
    <mergeCell ref="E30:G30"/>
    <mergeCell ref="C32:G32"/>
    <mergeCell ref="E33:G33"/>
    <mergeCell ref="B39:G39"/>
    <mergeCell ref="H39:I39"/>
    <mergeCell ref="D40:E40"/>
    <mergeCell ref="F40:G40"/>
    <mergeCell ref="G44:I44"/>
    <mergeCell ref="C46:G46"/>
    <mergeCell ref="C47:G47"/>
    <mergeCell ref="C48:G48"/>
    <mergeCell ref="G51:I51"/>
    <mergeCell ref="C52:G52"/>
    <mergeCell ref="G53:I53"/>
    <mergeCell ref="C54:G54"/>
    <mergeCell ref="H56:I56"/>
    <mergeCell ref="C57:G57"/>
    <mergeCell ref="E58:G58"/>
    <mergeCell ref="C60:G60"/>
    <mergeCell ref="E61:G61"/>
    <mergeCell ref="B67:G67"/>
    <mergeCell ref="H67:I67"/>
    <mergeCell ref="D68:E68"/>
    <mergeCell ref="F68:G68"/>
    <mergeCell ref="G73:I73"/>
    <mergeCell ref="C75:G75"/>
    <mergeCell ref="C76:G76"/>
    <mergeCell ref="C77:G77"/>
    <mergeCell ref="G80:I80"/>
    <mergeCell ref="C81:G81"/>
    <mergeCell ref="G82:I82"/>
    <mergeCell ref="C83:G83"/>
    <mergeCell ref="H85:I85"/>
    <mergeCell ref="C86:G86"/>
    <mergeCell ref="E87:G87"/>
    <mergeCell ref="C89:G89"/>
    <mergeCell ref="D87:D88"/>
    <mergeCell ref="E90:G90"/>
    <mergeCell ref="B96:G96"/>
    <mergeCell ref="H96:I96"/>
    <mergeCell ref="D97:E97"/>
    <mergeCell ref="F97:G97"/>
    <mergeCell ref="G101:I101"/>
    <mergeCell ref="C103:G103"/>
    <mergeCell ref="C104:G104"/>
    <mergeCell ref="C105:G105"/>
    <mergeCell ref="G108:I108"/>
    <mergeCell ref="C109:G109"/>
    <mergeCell ref="G110:I110"/>
    <mergeCell ref="C111:G111"/>
    <mergeCell ref="H113:I113"/>
    <mergeCell ref="C114:G114"/>
    <mergeCell ref="E115:G115"/>
    <mergeCell ref="C117:G117"/>
    <mergeCell ref="E118:G118"/>
    <mergeCell ref="D115:D116"/>
    <mergeCell ref="A119:G119"/>
    <mergeCell ref="B124:G124"/>
    <mergeCell ref="H124:I124"/>
    <mergeCell ref="D125:E125"/>
    <mergeCell ref="F125:G125"/>
    <mergeCell ref="G129:I129"/>
    <mergeCell ref="C131:G131"/>
    <mergeCell ref="C132:G132"/>
    <mergeCell ref="C133:G133"/>
    <mergeCell ref="G136:I136"/>
    <mergeCell ref="C137:G137"/>
    <mergeCell ref="G138:I138"/>
    <mergeCell ref="C139:G139"/>
    <mergeCell ref="H141:I141"/>
    <mergeCell ref="C142:G142"/>
    <mergeCell ref="E143:G143"/>
    <mergeCell ref="C145:G145"/>
    <mergeCell ref="E146:G146"/>
    <mergeCell ref="D143:D144"/>
    <mergeCell ref="A147:G147"/>
    <mergeCell ref="B152:G152"/>
    <mergeCell ref="H152:I152"/>
    <mergeCell ref="D153:E153"/>
    <mergeCell ref="F153:G153"/>
    <mergeCell ref="G157:I157"/>
    <mergeCell ref="C158:G158"/>
    <mergeCell ref="C159:G159"/>
    <mergeCell ref="C160:G160"/>
    <mergeCell ref="F180:G180"/>
    <mergeCell ref="G184:I184"/>
    <mergeCell ref="C185:G185"/>
    <mergeCell ref="C186:G186"/>
    <mergeCell ref="C187:G187"/>
    <mergeCell ref="G190:I190"/>
    <mergeCell ref="G163:I163"/>
    <mergeCell ref="C164:G164"/>
    <mergeCell ref="G165:I165"/>
    <mergeCell ref="C166:G166"/>
    <mergeCell ref="H168:I168"/>
    <mergeCell ref="C169:G169"/>
    <mergeCell ref="E170:G170"/>
    <mergeCell ref="C172:G172"/>
    <mergeCell ref="E173:G173"/>
    <mergeCell ref="D170:D171"/>
    <mergeCell ref="H195:I195"/>
    <mergeCell ref="C196:G196"/>
    <mergeCell ref="E197:G197"/>
    <mergeCell ref="C199:G199"/>
    <mergeCell ref="E200:G200"/>
    <mergeCell ref="C12:C13"/>
    <mergeCell ref="C30:C31"/>
    <mergeCell ref="C40:C41"/>
    <mergeCell ref="C58:C59"/>
    <mergeCell ref="C68:C69"/>
    <mergeCell ref="C87:C88"/>
    <mergeCell ref="C97:C98"/>
    <mergeCell ref="C115:C116"/>
    <mergeCell ref="C125:C126"/>
    <mergeCell ref="C143:C144"/>
    <mergeCell ref="C153:C154"/>
    <mergeCell ref="C170:C171"/>
    <mergeCell ref="C180:C181"/>
    <mergeCell ref="C197:C198"/>
    <mergeCell ref="D30:D31"/>
    <mergeCell ref="D58:D59"/>
    <mergeCell ref="B179:G179"/>
    <mergeCell ref="H179:I179"/>
    <mergeCell ref="D180:E180"/>
    <mergeCell ref="D197:D198"/>
    <mergeCell ref="I30:I31"/>
    <mergeCell ref="I58:I59"/>
    <mergeCell ref="I87:I88"/>
    <mergeCell ref="I115:I116"/>
    <mergeCell ref="I143:I144"/>
    <mergeCell ref="I170:I171"/>
    <mergeCell ref="I197:I198"/>
    <mergeCell ref="A30:B31"/>
    <mergeCell ref="A40:B41"/>
    <mergeCell ref="A58:B59"/>
    <mergeCell ref="A87:B88"/>
    <mergeCell ref="A68:B69"/>
    <mergeCell ref="A115:B116"/>
    <mergeCell ref="A97:B98"/>
    <mergeCell ref="A143:B144"/>
    <mergeCell ref="A125:B126"/>
    <mergeCell ref="A170:B171"/>
    <mergeCell ref="A153:B154"/>
    <mergeCell ref="A197:B198"/>
    <mergeCell ref="A180:B181"/>
    <mergeCell ref="C191:G191"/>
    <mergeCell ref="G192:I192"/>
    <mergeCell ref="C193:G193"/>
  </mergeCells>
  <pageMargins left="0.78740157480314998" right="0.78740157480314998" top="0.78740157480314998" bottom="0.78740157480314998" header="0.31496062992126" footer="0.31496062992126"/>
  <pageSetup paperSize="9" scale="70" fitToHeight="0" orientation="landscape" r:id="rId1"/>
  <rowBreaks count="7" manualBreakCount="7">
    <brk id="34" max="16383" man="1"/>
    <brk id="62" max="16383" man="1"/>
    <brk id="91" max="16383" man="1"/>
    <brk id="119" max="16383" man="1"/>
    <brk id="147" max="16383" man="1"/>
    <brk id="174" max="16383" man="1"/>
    <brk id="20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2"/>
  <sheetViews>
    <sheetView zoomScale="130" zoomScaleNormal="130" workbookViewId="0">
      <selection activeCell="H12" sqref="H12"/>
    </sheetView>
  </sheetViews>
  <sheetFormatPr defaultColWidth="9" defaultRowHeight="12.75"/>
  <cols>
    <col min="1" max="1" width="13.28515625" customWidth="1"/>
    <col min="2" max="3" width="10.85546875" customWidth="1"/>
    <col min="4" max="4" width="52.7109375" customWidth="1"/>
    <col min="5" max="5" width="7.42578125" customWidth="1"/>
    <col min="6" max="6" width="17.28515625" customWidth="1"/>
    <col min="7" max="7" width="19.7109375" customWidth="1"/>
    <col min="8" max="8" width="17" customWidth="1"/>
    <col min="257" max="259" width="13.28515625" customWidth="1"/>
    <col min="260" max="260" width="52.7109375" customWidth="1"/>
    <col min="262" max="262" width="17.28515625" customWidth="1"/>
    <col min="263" max="263" width="19.7109375" customWidth="1"/>
    <col min="264" max="264" width="19.42578125" customWidth="1"/>
    <col min="513" max="515" width="13.28515625" customWidth="1"/>
    <col min="516" max="516" width="52.7109375" customWidth="1"/>
    <col min="518" max="518" width="17.28515625" customWidth="1"/>
    <col min="519" max="519" width="19.7109375" customWidth="1"/>
    <col min="520" max="520" width="19.42578125" customWidth="1"/>
    <col min="769" max="771" width="13.28515625" customWidth="1"/>
    <col min="772" max="772" width="52.7109375" customWidth="1"/>
    <col min="774" max="774" width="17.28515625" customWidth="1"/>
    <col min="775" max="775" width="19.7109375" customWidth="1"/>
    <col min="776" max="776" width="19.42578125" customWidth="1"/>
    <col min="1025" max="1027" width="13.28515625" customWidth="1"/>
    <col min="1028" max="1028" width="52.7109375" customWidth="1"/>
    <col min="1030" max="1030" width="17.28515625" customWidth="1"/>
    <col min="1031" max="1031" width="19.7109375" customWidth="1"/>
    <col min="1032" max="1032" width="19.42578125" customWidth="1"/>
    <col min="1281" max="1283" width="13.28515625" customWidth="1"/>
    <col min="1284" max="1284" width="52.7109375" customWidth="1"/>
    <col min="1286" max="1286" width="17.28515625" customWidth="1"/>
    <col min="1287" max="1287" width="19.7109375" customWidth="1"/>
    <col min="1288" max="1288" width="19.42578125" customWidth="1"/>
    <col min="1537" max="1539" width="13.28515625" customWidth="1"/>
    <col min="1540" max="1540" width="52.7109375" customWidth="1"/>
    <col min="1542" max="1542" width="17.28515625" customWidth="1"/>
    <col min="1543" max="1543" width="19.7109375" customWidth="1"/>
    <col min="1544" max="1544" width="19.42578125" customWidth="1"/>
    <col min="1793" max="1795" width="13.28515625" customWidth="1"/>
    <col min="1796" max="1796" width="52.7109375" customWidth="1"/>
    <col min="1798" max="1798" width="17.28515625" customWidth="1"/>
    <col min="1799" max="1799" width="19.7109375" customWidth="1"/>
    <col min="1800" max="1800" width="19.42578125" customWidth="1"/>
    <col min="2049" max="2051" width="13.28515625" customWidth="1"/>
    <col min="2052" max="2052" width="52.7109375" customWidth="1"/>
    <col min="2054" max="2054" width="17.28515625" customWidth="1"/>
    <col min="2055" max="2055" width="19.7109375" customWidth="1"/>
    <col min="2056" max="2056" width="19.42578125" customWidth="1"/>
    <col min="2305" max="2307" width="13.28515625" customWidth="1"/>
    <col min="2308" max="2308" width="52.7109375" customWidth="1"/>
    <col min="2310" max="2310" width="17.28515625" customWidth="1"/>
    <col min="2311" max="2311" width="19.7109375" customWidth="1"/>
    <col min="2312" max="2312" width="19.42578125" customWidth="1"/>
    <col min="2561" max="2563" width="13.28515625" customWidth="1"/>
    <col min="2564" max="2564" width="52.7109375" customWidth="1"/>
    <col min="2566" max="2566" width="17.28515625" customWidth="1"/>
    <col min="2567" max="2567" width="19.7109375" customWidth="1"/>
    <col min="2568" max="2568" width="19.42578125" customWidth="1"/>
    <col min="2817" max="2819" width="13.28515625" customWidth="1"/>
    <col min="2820" max="2820" width="52.7109375" customWidth="1"/>
    <col min="2822" max="2822" width="17.28515625" customWidth="1"/>
    <col min="2823" max="2823" width="19.7109375" customWidth="1"/>
    <col min="2824" max="2824" width="19.42578125" customWidth="1"/>
    <col min="3073" max="3075" width="13.28515625" customWidth="1"/>
    <col min="3076" max="3076" width="52.7109375" customWidth="1"/>
    <col min="3078" max="3078" width="17.28515625" customWidth="1"/>
    <col min="3079" max="3079" width="19.7109375" customWidth="1"/>
    <col min="3080" max="3080" width="19.42578125" customWidth="1"/>
    <col min="3329" max="3331" width="13.28515625" customWidth="1"/>
    <col min="3332" max="3332" width="52.7109375" customWidth="1"/>
    <col min="3334" max="3334" width="17.28515625" customWidth="1"/>
    <col min="3335" max="3335" width="19.7109375" customWidth="1"/>
    <col min="3336" max="3336" width="19.42578125" customWidth="1"/>
    <col min="3585" max="3587" width="13.28515625" customWidth="1"/>
    <col min="3588" max="3588" width="52.7109375" customWidth="1"/>
    <col min="3590" max="3590" width="17.28515625" customWidth="1"/>
    <col min="3591" max="3591" width="19.7109375" customWidth="1"/>
    <col min="3592" max="3592" width="19.42578125" customWidth="1"/>
    <col min="3841" max="3843" width="13.28515625" customWidth="1"/>
    <col min="3844" max="3844" width="52.7109375" customWidth="1"/>
    <col min="3846" max="3846" width="17.28515625" customWidth="1"/>
    <col min="3847" max="3847" width="19.7109375" customWidth="1"/>
    <col min="3848" max="3848" width="19.42578125" customWidth="1"/>
    <col min="4097" max="4099" width="13.28515625" customWidth="1"/>
    <col min="4100" max="4100" width="52.7109375" customWidth="1"/>
    <col min="4102" max="4102" width="17.28515625" customWidth="1"/>
    <col min="4103" max="4103" width="19.7109375" customWidth="1"/>
    <col min="4104" max="4104" width="19.42578125" customWidth="1"/>
    <col min="4353" max="4355" width="13.28515625" customWidth="1"/>
    <col min="4356" max="4356" width="52.7109375" customWidth="1"/>
    <col min="4358" max="4358" width="17.28515625" customWidth="1"/>
    <col min="4359" max="4359" width="19.7109375" customWidth="1"/>
    <col min="4360" max="4360" width="19.42578125" customWidth="1"/>
    <col min="4609" max="4611" width="13.28515625" customWidth="1"/>
    <col min="4612" max="4612" width="52.7109375" customWidth="1"/>
    <col min="4614" max="4614" width="17.28515625" customWidth="1"/>
    <col min="4615" max="4615" width="19.7109375" customWidth="1"/>
    <col min="4616" max="4616" width="19.42578125" customWidth="1"/>
    <col min="4865" max="4867" width="13.28515625" customWidth="1"/>
    <col min="4868" max="4868" width="52.7109375" customWidth="1"/>
    <col min="4870" max="4870" width="17.28515625" customWidth="1"/>
    <col min="4871" max="4871" width="19.7109375" customWidth="1"/>
    <col min="4872" max="4872" width="19.42578125" customWidth="1"/>
    <col min="5121" max="5123" width="13.28515625" customWidth="1"/>
    <col min="5124" max="5124" width="52.7109375" customWidth="1"/>
    <col min="5126" max="5126" width="17.28515625" customWidth="1"/>
    <col min="5127" max="5127" width="19.7109375" customWidth="1"/>
    <col min="5128" max="5128" width="19.42578125" customWidth="1"/>
    <col min="5377" max="5379" width="13.28515625" customWidth="1"/>
    <col min="5380" max="5380" width="52.7109375" customWidth="1"/>
    <col min="5382" max="5382" width="17.28515625" customWidth="1"/>
    <col min="5383" max="5383" width="19.7109375" customWidth="1"/>
    <col min="5384" max="5384" width="19.42578125" customWidth="1"/>
    <col min="5633" max="5635" width="13.28515625" customWidth="1"/>
    <col min="5636" max="5636" width="52.7109375" customWidth="1"/>
    <col min="5638" max="5638" width="17.28515625" customWidth="1"/>
    <col min="5639" max="5639" width="19.7109375" customWidth="1"/>
    <col min="5640" max="5640" width="19.42578125" customWidth="1"/>
    <col min="5889" max="5891" width="13.28515625" customWidth="1"/>
    <col min="5892" max="5892" width="52.7109375" customWidth="1"/>
    <col min="5894" max="5894" width="17.28515625" customWidth="1"/>
    <col min="5895" max="5895" width="19.7109375" customWidth="1"/>
    <col min="5896" max="5896" width="19.42578125" customWidth="1"/>
    <col min="6145" max="6147" width="13.28515625" customWidth="1"/>
    <col min="6148" max="6148" width="52.7109375" customWidth="1"/>
    <col min="6150" max="6150" width="17.28515625" customWidth="1"/>
    <col min="6151" max="6151" width="19.7109375" customWidth="1"/>
    <col min="6152" max="6152" width="19.42578125" customWidth="1"/>
    <col min="6401" max="6403" width="13.28515625" customWidth="1"/>
    <col min="6404" max="6404" width="52.7109375" customWidth="1"/>
    <col min="6406" max="6406" width="17.28515625" customWidth="1"/>
    <col min="6407" max="6407" width="19.7109375" customWidth="1"/>
    <col min="6408" max="6408" width="19.42578125" customWidth="1"/>
    <col min="6657" max="6659" width="13.28515625" customWidth="1"/>
    <col min="6660" max="6660" width="52.7109375" customWidth="1"/>
    <col min="6662" max="6662" width="17.28515625" customWidth="1"/>
    <col min="6663" max="6663" width="19.7109375" customWidth="1"/>
    <col min="6664" max="6664" width="19.42578125" customWidth="1"/>
    <col min="6913" max="6915" width="13.28515625" customWidth="1"/>
    <col min="6916" max="6916" width="52.7109375" customWidth="1"/>
    <col min="6918" max="6918" width="17.28515625" customWidth="1"/>
    <col min="6919" max="6919" width="19.7109375" customWidth="1"/>
    <col min="6920" max="6920" width="19.42578125" customWidth="1"/>
    <col min="7169" max="7171" width="13.28515625" customWidth="1"/>
    <col min="7172" max="7172" width="52.7109375" customWidth="1"/>
    <col min="7174" max="7174" width="17.28515625" customWidth="1"/>
    <col min="7175" max="7175" width="19.7109375" customWidth="1"/>
    <col min="7176" max="7176" width="19.42578125" customWidth="1"/>
    <col min="7425" max="7427" width="13.28515625" customWidth="1"/>
    <col min="7428" max="7428" width="52.7109375" customWidth="1"/>
    <col min="7430" max="7430" width="17.28515625" customWidth="1"/>
    <col min="7431" max="7431" width="19.7109375" customWidth="1"/>
    <col min="7432" max="7432" width="19.42578125" customWidth="1"/>
    <col min="7681" max="7683" width="13.28515625" customWidth="1"/>
    <col min="7684" max="7684" width="52.7109375" customWidth="1"/>
    <col min="7686" max="7686" width="17.28515625" customWidth="1"/>
    <col min="7687" max="7687" width="19.7109375" customWidth="1"/>
    <col min="7688" max="7688" width="19.42578125" customWidth="1"/>
    <col min="7937" max="7939" width="13.28515625" customWidth="1"/>
    <col min="7940" max="7940" width="52.7109375" customWidth="1"/>
    <col min="7942" max="7942" width="17.28515625" customWidth="1"/>
    <col min="7943" max="7943" width="19.7109375" customWidth="1"/>
    <col min="7944" max="7944" width="19.42578125" customWidth="1"/>
    <col min="8193" max="8195" width="13.28515625" customWidth="1"/>
    <col min="8196" max="8196" width="52.7109375" customWidth="1"/>
    <col min="8198" max="8198" width="17.28515625" customWidth="1"/>
    <col min="8199" max="8199" width="19.7109375" customWidth="1"/>
    <col min="8200" max="8200" width="19.42578125" customWidth="1"/>
    <col min="8449" max="8451" width="13.28515625" customWidth="1"/>
    <col min="8452" max="8452" width="52.7109375" customWidth="1"/>
    <col min="8454" max="8454" width="17.28515625" customWidth="1"/>
    <col min="8455" max="8455" width="19.7109375" customWidth="1"/>
    <col min="8456" max="8456" width="19.42578125" customWidth="1"/>
    <col min="8705" max="8707" width="13.28515625" customWidth="1"/>
    <col min="8708" max="8708" width="52.7109375" customWidth="1"/>
    <col min="8710" max="8710" width="17.28515625" customWidth="1"/>
    <col min="8711" max="8711" width="19.7109375" customWidth="1"/>
    <col min="8712" max="8712" width="19.42578125" customWidth="1"/>
    <col min="8961" max="8963" width="13.28515625" customWidth="1"/>
    <col min="8964" max="8964" width="52.7109375" customWidth="1"/>
    <col min="8966" max="8966" width="17.28515625" customWidth="1"/>
    <col min="8967" max="8967" width="19.7109375" customWidth="1"/>
    <col min="8968" max="8968" width="19.42578125" customWidth="1"/>
    <col min="9217" max="9219" width="13.28515625" customWidth="1"/>
    <col min="9220" max="9220" width="52.7109375" customWidth="1"/>
    <col min="9222" max="9222" width="17.28515625" customWidth="1"/>
    <col min="9223" max="9223" width="19.7109375" customWidth="1"/>
    <col min="9224" max="9224" width="19.42578125" customWidth="1"/>
    <col min="9473" max="9475" width="13.28515625" customWidth="1"/>
    <col min="9476" max="9476" width="52.7109375" customWidth="1"/>
    <col min="9478" max="9478" width="17.28515625" customWidth="1"/>
    <col min="9479" max="9479" width="19.7109375" customWidth="1"/>
    <col min="9480" max="9480" width="19.42578125" customWidth="1"/>
    <col min="9729" max="9731" width="13.28515625" customWidth="1"/>
    <col min="9732" max="9732" width="52.7109375" customWidth="1"/>
    <col min="9734" max="9734" width="17.28515625" customWidth="1"/>
    <col min="9735" max="9735" width="19.7109375" customWidth="1"/>
    <col min="9736" max="9736" width="19.42578125" customWidth="1"/>
    <col min="9985" max="9987" width="13.28515625" customWidth="1"/>
    <col min="9988" max="9988" width="52.7109375" customWidth="1"/>
    <col min="9990" max="9990" width="17.28515625" customWidth="1"/>
    <col min="9991" max="9991" width="19.7109375" customWidth="1"/>
    <col min="9992" max="9992" width="19.42578125" customWidth="1"/>
    <col min="10241" max="10243" width="13.28515625" customWidth="1"/>
    <col min="10244" max="10244" width="52.7109375" customWidth="1"/>
    <col min="10246" max="10246" width="17.28515625" customWidth="1"/>
    <col min="10247" max="10247" width="19.7109375" customWidth="1"/>
    <col min="10248" max="10248" width="19.42578125" customWidth="1"/>
    <col min="10497" max="10499" width="13.28515625" customWidth="1"/>
    <col min="10500" max="10500" width="52.7109375" customWidth="1"/>
    <col min="10502" max="10502" width="17.28515625" customWidth="1"/>
    <col min="10503" max="10503" width="19.7109375" customWidth="1"/>
    <col min="10504" max="10504" width="19.42578125" customWidth="1"/>
    <col min="10753" max="10755" width="13.28515625" customWidth="1"/>
    <col min="10756" max="10756" width="52.7109375" customWidth="1"/>
    <col min="10758" max="10758" width="17.28515625" customWidth="1"/>
    <col min="10759" max="10759" width="19.7109375" customWidth="1"/>
    <col min="10760" max="10760" width="19.42578125" customWidth="1"/>
    <col min="11009" max="11011" width="13.28515625" customWidth="1"/>
    <col min="11012" max="11012" width="52.7109375" customWidth="1"/>
    <col min="11014" max="11014" width="17.28515625" customWidth="1"/>
    <col min="11015" max="11015" width="19.7109375" customWidth="1"/>
    <col min="11016" max="11016" width="19.42578125" customWidth="1"/>
    <col min="11265" max="11267" width="13.28515625" customWidth="1"/>
    <col min="11268" max="11268" width="52.7109375" customWidth="1"/>
    <col min="11270" max="11270" width="17.28515625" customWidth="1"/>
    <col min="11271" max="11271" width="19.7109375" customWidth="1"/>
    <col min="11272" max="11272" width="19.42578125" customWidth="1"/>
    <col min="11521" max="11523" width="13.28515625" customWidth="1"/>
    <col min="11524" max="11524" width="52.7109375" customWidth="1"/>
    <col min="11526" max="11526" width="17.28515625" customWidth="1"/>
    <col min="11527" max="11527" width="19.7109375" customWidth="1"/>
    <col min="11528" max="11528" width="19.42578125" customWidth="1"/>
    <col min="11777" max="11779" width="13.28515625" customWidth="1"/>
    <col min="11780" max="11780" width="52.7109375" customWidth="1"/>
    <col min="11782" max="11782" width="17.28515625" customWidth="1"/>
    <col min="11783" max="11783" width="19.7109375" customWidth="1"/>
    <col min="11784" max="11784" width="19.42578125" customWidth="1"/>
    <col min="12033" max="12035" width="13.28515625" customWidth="1"/>
    <col min="12036" max="12036" width="52.7109375" customWidth="1"/>
    <col min="12038" max="12038" width="17.28515625" customWidth="1"/>
    <col min="12039" max="12039" width="19.7109375" customWidth="1"/>
    <col min="12040" max="12040" width="19.42578125" customWidth="1"/>
    <col min="12289" max="12291" width="13.28515625" customWidth="1"/>
    <col min="12292" max="12292" width="52.7109375" customWidth="1"/>
    <col min="12294" max="12294" width="17.28515625" customWidth="1"/>
    <col min="12295" max="12295" width="19.7109375" customWidth="1"/>
    <col min="12296" max="12296" width="19.42578125" customWidth="1"/>
    <col min="12545" max="12547" width="13.28515625" customWidth="1"/>
    <col min="12548" max="12548" width="52.7109375" customWidth="1"/>
    <col min="12550" max="12550" width="17.28515625" customWidth="1"/>
    <col min="12551" max="12551" width="19.7109375" customWidth="1"/>
    <col min="12552" max="12552" width="19.42578125" customWidth="1"/>
    <col min="12801" max="12803" width="13.28515625" customWidth="1"/>
    <col min="12804" max="12804" width="52.7109375" customWidth="1"/>
    <col min="12806" max="12806" width="17.28515625" customWidth="1"/>
    <col min="12807" max="12807" width="19.7109375" customWidth="1"/>
    <col min="12808" max="12808" width="19.42578125" customWidth="1"/>
    <col min="13057" max="13059" width="13.28515625" customWidth="1"/>
    <col min="13060" max="13060" width="52.7109375" customWidth="1"/>
    <col min="13062" max="13062" width="17.28515625" customWidth="1"/>
    <col min="13063" max="13063" width="19.7109375" customWidth="1"/>
    <col min="13064" max="13064" width="19.42578125" customWidth="1"/>
    <col min="13313" max="13315" width="13.28515625" customWidth="1"/>
    <col min="13316" max="13316" width="52.7109375" customWidth="1"/>
    <col min="13318" max="13318" width="17.28515625" customWidth="1"/>
    <col min="13319" max="13319" width="19.7109375" customWidth="1"/>
    <col min="13320" max="13320" width="19.42578125" customWidth="1"/>
    <col min="13569" max="13571" width="13.28515625" customWidth="1"/>
    <col min="13572" max="13572" width="52.7109375" customWidth="1"/>
    <col min="13574" max="13574" width="17.28515625" customWidth="1"/>
    <col min="13575" max="13575" width="19.7109375" customWidth="1"/>
    <col min="13576" max="13576" width="19.42578125" customWidth="1"/>
    <col min="13825" max="13827" width="13.28515625" customWidth="1"/>
    <col min="13828" max="13828" width="52.7109375" customWidth="1"/>
    <col min="13830" max="13830" width="17.28515625" customWidth="1"/>
    <col min="13831" max="13831" width="19.7109375" customWidth="1"/>
    <col min="13832" max="13832" width="19.42578125" customWidth="1"/>
    <col min="14081" max="14083" width="13.28515625" customWidth="1"/>
    <col min="14084" max="14084" width="52.7109375" customWidth="1"/>
    <col min="14086" max="14086" width="17.28515625" customWidth="1"/>
    <col min="14087" max="14087" width="19.7109375" customWidth="1"/>
    <col min="14088" max="14088" width="19.42578125" customWidth="1"/>
    <col min="14337" max="14339" width="13.28515625" customWidth="1"/>
    <col min="14340" max="14340" width="52.7109375" customWidth="1"/>
    <col min="14342" max="14342" width="17.28515625" customWidth="1"/>
    <col min="14343" max="14343" width="19.7109375" customWidth="1"/>
    <col min="14344" max="14344" width="19.42578125" customWidth="1"/>
    <col min="14593" max="14595" width="13.28515625" customWidth="1"/>
    <col min="14596" max="14596" width="52.7109375" customWidth="1"/>
    <col min="14598" max="14598" width="17.28515625" customWidth="1"/>
    <col min="14599" max="14599" width="19.7109375" customWidth="1"/>
    <col min="14600" max="14600" width="19.42578125" customWidth="1"/>
    <col min="14849" max="14851" width="13.28515625" customWidth="1"/>
    <col min="14852" max="14852" width="52.7109375" customWidth="1"/>
    <col min="14854" max="14854" width="17.28515625" customWidth="1"/>
    <col min="14855" max="14855" width="19.7109375" customWidth="1"/>
    <col min="14856" max="14856" width="19.42578125" customWidth="1"/>
    <col min="15105" max="15107" width="13.28515625" customWidth="1"/>
    <col min="15108" max="15108" width="52.7109375" customWidth="1"/>
    <col min="15110" max="15110" width="17.28515625" customWidth="1"/>
    <col min="15111" max="15111" width="19.7109375" customWidth="1"/>
    <col min="15112" max="15112" width="19.42578125" customWidth="1"/>
    <col min="15361" max="15363" width="13.28515625" customWidth="1"/>
    <col min="15364" max="15364" width="52.7109375" customWidth="1"/>
    <col min="15366" max="15366" width="17.28515625" customWidth="1"/>
    <col min="15367" max="15367" width="19.7109375" customWidth="1"/>
    <col min="15368" max="15368" width="19.42578125" customWidth="1"/>
    <col min="15617" max="15619" width="13.28515625" customWidth="1"/>
    <col min="15620" max="15620" width="52.7109375" customWidth="1"/>
    <col min="15622" max="15622" width="17.28515625" customWidth="1"/>
    <col min="15623" max="15623" width="19.7109375" customWidth="1"/>
    <col min="15624" max="15624" width="19.42578125" customWidth="1"/>
    <col min="15873" max="15875" width="13.28515625" customWidth="1"/>
    <col min="15876" max="15876" width="52.7109375" customWidth="1"/>
    <col min="15878" max="15878" width="17.28515625" customWidth="1"/>
    <col min="15879" max="15879" width="19.7109375" customWidth="1"/>
    <col min="15880" max="15880" width="19.42578125" customWidth="1"/>
    <col min="16129" max="16131" width="13.28515625" customWidth="1"/>
    <col min="16132" max="16132" width="52.7109375" customWidth="1"/>
    <col min="16134" max="16134" width="17.28515625" customWidth="1"/>
    <col min="16135" max="16135" width="19.7109375" customWidth="1"/>
    <col min="16136" max="16136" width="19.42578125" customWidth="1"/>
  </cols>
  <sheetData>
    <row r="1" spans="1:8">
      <c r="A1" s="140"/>
      <c r="B1" s="141"/>
      <c r="C1" s="141"/>
      <c r="D1" s="399" t="s">
        <v>50</v>
      </c>
      <c r="E1" s="399"/>
      <c r="F1" s="399"/>
      <c r="G1" s="399"/>
      <c r="H1" s="400"/>
    </row>
    <row r="2" spans="1:8">
      <c r="A2" s="142"/>
      <c r="D2" s="401" t="s">
        <v>2</v>
      </c>
      <c r="E2" s="401"/>
      <c r="F2" s="401"/>
      <c r="G2" s="401"/>
      <c r="H2" s="402"/>
    </row>
    <row r="3" spans="1:8">
      <c r="A3" s="142"/>
      <c r="D3" s="401" t="s">
        <v>51</v>
      </c>
      <c r="E3" s="401"/>
      <c r="F3" s="401"/>
      <c r="G3" s="401"/>
      <c r="H3" s="402"/>
    </row>
    <row r="4" spans="1:8">
      <c r="A4" s="142"/>
      <c r="H4" s="143"/>
    </row>
    <row r="5" spans="1:8" ht="44.25" customHeight="1">
      <c r="A5" s="403" t="s">
        <v>5</v>
      </c>
      <c r="B5" s="404"/>
      <c r="C5" s="404"/>
      <c r="D5" s="404"/>
      <c r="E5" s="404"/>
      <c r="F5" s="404"/>
      <c r="G5" s="404"/>
      <c r="H5" s="405"/>
    </row>
    <row r="6" spans="1:8">
      <c r="A6" s="142"/>
      <c r="H6" s="143"/>
    </row>
    <row r="7" spans="1:8">
      <c r="A7" s="142"/>
      <c r="H7" s="143"/>
    </row>
    <row r="8" spans="1:8" ht="15.75">
      <c r="A8" s="406" t="s">
        <v>112</v>
      </c>
      <c r="B8" s="407"/>
      <c r="C8" s="407"/>
      <c r="D8" s="407"/>
      <c r="E8" s="407"/>
      <c r="F8" s="407"/>
      <c r="G8" s="407"/>
      <c r="H8" s="408"/>
    </row>
    <row r="9" spans="1:8" ht="15.75">
      <c r="A9" s="144"/>
      <c r="B9" s="145"/>
      <c r="C9" s="145"/>
      <c r="D9" s="145"/>
      <c r="E9" s="145"/>
      <c r="F9" s="145"/>
      <c r="G9" s="145"/>
      <c r="H9" s="146"/>
    </row>
    <row r="10" spans="1:8" ht="36" customHeight="1">
      <c r="A10" s="387" t="s">
        <v>113</v>
      </c>
      <c r="B10" s="388"/>
      <c r="C10" s="388"/>
      <c r="D10" s="388"/>
      <c r="E10" s="388"/>
      <c r="F10" s="388"/>
      <c r="G10" s="388"/>
      <c r="H10" s="389"/>
    </row>
    <row r="11" spans="1:8">
      <c r="A11" s="390"/>
      <c r="B11" s="391"/>
      <c r="C11" s="391"/>
      <c r="D11" s="391"/>
      <c r="E11" s="391"/>
      <c r="F11" s="391"/>
      <c r="G11" s="391"/>
      <c r="H11" s="392"/>
    </row>
    <row r="12" spans="1:8" ht="21.95" customHeight="1">
      <c r="A12" s="142"/>
      <c r="C12" s="145"/>
      <c r="D12" s="145"/>
      <c r="F12" s="393" t="s">
        <v>114</v>
      </c>
      <c r="G12" s="394"/>
      <c r="H12" s="147">
        <v>1.1464000000000001</v>
      </c>
    </row>
    <row r="13" spans="1:8" ht="34.5" customHeight="1">
      <c r="A13" s="148" t="s">
        <v>115</v>
      </c>
      <c r="B13" s="395"/>
      <c r="C13" s="395"/>
      <c r="D13" s="395"/>
      <c r="F13" s="396" t="s">
        <v>116</v>
      </c>
      <c r="G13" s="397"/>
      <c r="H13" s="398"/>
    </row>
    <row r="14" spans="1:8" ht="15" customHeight="1">
      <c r="A14" s="142"/>
      <c r="H14" s="143"/>
    </row>
    <row r="15" spans="1:8" ht="35.25" customHeight="1">
      <c r="A15" s="149" t="s">
        <v>117</v>
      </c>
      <c r="B15" s="150" t="s">
        <v>118</v>
      </c>
      <c r="C15" s="150" t="s">
        <v>119</v>
      </c>
      <c r="D15" s="151" t="s">
        <v>120</v>
      </c>
      <c r="E15" s="150" t="s">
        <v>19</v>
      </c>
      <c r="F15" s="152" t="s">
        <v>121</v>
      </c>
      <c r="G15" s="152" t="s">
        <v>122</v>
      </c>
      <c r="H15" s="153" t="s">
        <v>123</v>
      </c>
    </row>
    <row r="16" spans="1:8" ht="27" customHeight="1">
      <c r="A16" s="154" t="s">
        <v>124</v>
      </c>
      <c r="B16" s="155" t="s">
        <v>125</v>
      </c>
      <c r="C16" s="155">
        <f>'INSUMOS - PREÇOS'!D17</f>
        <v>90776</v>
      </c>
      <c r="D16" s="156" t="str">
        <f>'INSUMOS - PREÇOS'!A17</f>
        <v>ENCARREGADO GERAL COM ENCARGOS COMPLEMENTARES</v>
      </c>
      <c r="E16" s="155" t="str">
        <f>'INSUMOS - PREÇOS'!E17</f>
        <v>H</v>
      </c>
      <c r="F16" s="157">
        <f>80/4</f>
        <v>20</v>
      </c>
      <c r="G16" s="158">
        <f>'INSUMOS - PREÇOS'!F17</f>
        <v>36.79</v>
      </c>
      <c r="H16" s="159">
        <f>ROUND(F16*G16,2)</f>
        <v>735.8</v>
      </c>
    </row>
    <row r="17" spans="1:8" ht="27" customHeight="1">
      <c r="A17" s="154" t="s">
        <v>124</v>
      </c>
      <c r="B17" s="155" t="s">
        <v>125</v>
      </c>
      <c r="C17" s="155">
        <f>'INSUMOS - PREÇOS'!D18</f>
        <v>90777</v>
      </c>
      <c r="D17" s="156" t="str">
        <f>'INSUMOS - PREÇOS'!A18</f>
        <v>ENGENHEIRO CIVIL DE OBRA JUNIOR COM ENCARGOS COMPLEMENTARES</v>
      </c>
      <c r="E17" s="155" t="str">
        <f>'INSUMOS - PREÇOS'!E18</f>
        <v>H</v>
      </c>
      <c r="F17" s="157">
        <f>8/4</f>
        <v>2</v>
      </c>
      <c r="G17" s="158">
        <f>'INSUMOS - PREÇOS'!F18</f>
        <v>113.34</v>
      </c>
      <c r="H17" s="159">
        <f>ROUND(F17*G17,2)</f>
        <v>226.68</v>
      </c>
    </row>
    <row r="18" spans="1:8" ht="21.95" customHeight="1">
      <c r="A18" s="382"/>
      <c r="B18" s="383"/>
      <c r="C18" s="383"/>
      <c r="D18" s="383"/>
      <c r="E18" s="384" t="s">
        <v>126</v>
      </c>
      <c r="F18" s="385"/>
      <c r="G18" s="386"/>
      <c r="H18" s="160">
        <f>ROUND(SUM(H16:H17),2)</f>
        <v>962.48</v>
      </c>
    </row>
    <row r="19" spans="1:8" ht="21.95" customHeight="1">
      <c r="A19" s="142"/>
      <c r="H19" s="143"/>
    </row>
    <row r="20" spans="1:8" ht="35.25" customHeight="1">
      <c r="A20" s="149" t="s">
        <v>127</v>
      </c>
      <c r="B20" s="150" t="s">
        <v>118</v>
      </c>
      <c r="C20" s="150" t="s">
        <v>119</v>
      </c>
      <c r="D20" s="151" t="s">
        <v>128</v>
      </c>
      <c r="E20" s="150" t="s">
        <v>129</v>
      </c>
      <c r="F20" s="152" t="s">
        <v>121</v>
      </c>
      <c r="G20" s="152" t="s">
        <v>122</v>
      </c>
      <c r="H20" s="153" t="s">
        <v>123</v>
      </c>
    </row>
    <row r="21" spans="1:8">
      <c r="A21" s="154" t="s">
        <v>130</v>
      </c>
      <c r="B21" s="155" t="s">
        <v>125</v>
      </c>
      <c r="C21" s="155">
        <f>'INSUMOS - PREÇOS'!D22</f>
        <v>5075</v>
      </c>
      <c r="D21" s="156" t="str">
        <f>'INSUMOS - PREÇOS'!A22</f>
        <v>PREGO DE ACO POLIDO COM CABECA 18 X 30 (2 3/4 X 10)</v>
      </c>
      <c r="E21" s="155" t="str">
        <f>'INSUMOS - PREÇOS'!E22</f>
        <v>KG</v>
      </c>
      <c r="F21" s="161">
        <v>0.11</v>
      </c>
      <c r="G21" s="158">
        <f>'INSUMOS - PREÇOS'!F22</f>
        <v>20.29</v>
      </c>
      <c r="H21" s="159">
        <f t="shared" ref="H21:H30" si="0">ROUND(F21*G21,2)</f>
        <v>2.23</v>
      </c>
    </row>
    <row r="22" spans="1:8" ht="22.5">
      <c r="A22" s="154" t="s">
        <v>130</v>
      </c>
      <c r="B22" s="155" t="s">
        <v>125</v>
      </c>
      <c r="C22" s="155">
        <f>'INSUMOS - PREÇOS'!D21</f>
        <v>4491</v>
      </c>
      <c r="D22" s="156" t="str">
        <f>'INSUMOS - PREÇOS'!A21</f>
        <v>PONTALETE *7,5 X 7,5* CM EM PINUS, MISTA OU EQUIVALENTE DA REGIAO - BRUTA</v>
      </c>
      <c r="E22" s="155" t="str">
        <f>'INSUMOS - PREÇOS'!E21</f>
        <v>M</v>
      </c>
      <c r="F22" s="161">
        <v>4</v>
      </c>
      <c r="G22" s="158">
        <f>'INSUMOS - PREÇOS'!F21</f>
        <v>9.65</v>
      </c>
      <c r="H22" s="159">
        <f t="shared" si="0"/>
        <v>38.6</v>
      </c>
    </row>
    <row r="23" spans="1:8" ht="39" customHeight="1">
      <c r="A23" s="154" t="s">
        <v>130</v>
      </c>
      <c r="B23" s="155" t="s">
        <v>125</v>
      </c>
      <c r="C23" s="155">
        <f>'INSUMOS - PREÇOS'!D23</f>
        <v>4417</v>
      </c>
      <c r="D23" s="156" t="str">
        <f>'INSUMOS - PREÇOS'!A23</f>
        <v>SARRAFO NAO APARELHADO *2,5 X 7* CM, EM MACARANDUBA, ANGELIM OU EQUIVALENTE DA REGIAO - BRUTA</v>
      </c>
      <c r="E23" s="155" t="str">
        <f>'INSUMOS - PREÇOS'!E23</f>
        <v>M</v>
      </c>
      <c r="F23" s="161">
        <v>1</v>
      </c>
      <c r="G23" s="158">
        <f>'INSUMOS - PREÇOS'!F23</f>
        <v>7.18</v>
      </c>
      <c r="H23" s="159">
        <f t="shared" si="0"/>
        <v>7.18</v>
      </c>
    </row>
    <row r="24" spans="1:8" ht="33.75">
      <c r="A24" s="154" t="s">
        <v>130</v>
      </c>
      <c r="B24" s="155" t="s">
        <v>125</v>
      </c>
      <c r="C24" s="155">
        <f>'INSUMOS - PREÇOS'!D20</f>
        <v>4813</v>
      </c>
      <c r="D24" s="156" t="str">
        <f>'INSUMOS - PREÇOS'!A20</f>
        <v>PLACA DE OBRA (PARA CONSTRUCAO CIVIL) EM CHAPA GALVANIZADA *N. 22*, ADESIVADA, DE *2,4 X 1,2* M (SEM POSTES PARA FIXACAO)</v>
      </c>
      <c r="E24" s="155" t="str">
        <f>'INSUMOS - PREÇOS'!E20</f>
        <v>M²</v>
      </c>
      <c r="F24" s="161">
        <v>1</v>
      </c>
      <c r="G24" s="158">
        <f>'INSUMOS - PREÇOS'!F20</f>
        <v>325</v>
      </c>
      <c r="H24" s="159">
        <f t="shared" si="0"/>
        <v>325</v>
      </c>
    </row>
    <row r="25" spans="1:8" ht="22.5">
      <c r="A25" s="154" t="s">
        <v>130</v>
      </c>
      <c r="B25" s="155" t="s">
        <v>125</v>
      </c>
      <c r="C25" s="155">
        <f>'INSUMOS - PREÇOS'!D13</f>
        <v>370</v>
      </c>
      <c r="D25" s="156" t="str">
        <f>'INSUMOS - PREÇOS'!A13</f>
        <v>AREIA MEDIA - POSTO JAZIDA/FORNECEDOR (RETIRADO NA JAZIDA, SEM TRANSPORTE)</v>
      </c>
      <c r="E25" s="155" t="str">
        <f>'INSUMOS - PREÇOS'!E13</f>
        <v>M³</v>
      </c>
      <c r="F25" s="161">
        <v>4.8999999999999998E-3</v>
      </c>
      <c r="G25" s="158">
        <f>'INSUMOS - PREÇOS'!F13</f>
        <v>110</v>
      </c>
      <c r="H25" s="159">
        <f t="shared" si="0"/>
        <v>0.54</v>
      </c>
    </row>
    <row r="26" spans="1:8">
      <c r="A26" s="154" t="s">
        <v>130</v>
      </c>
      <c r="B26" s="155" t="s">
        <v>125</v>
      </c>
      <c r="C26" s="155">
        <f>'INSUMOS - PREÇOS'!D16</f>
        <v>1379</v>
      </c>
      <c r="D26" s="156" t="str">
        <f>'INSUMOS - PREÇOS'!A16</f>
        <v xml:space="preserve">CIMENTO PORTLAND COMPOSTO CP II-32 </v>
      </c>
      <c r="E26" s="155" t="str">
        <f>'INSUMOS - PREÇOS'!E16</f>
        <v>KG</v>
      </c>
      <c r="F26" s="161">
        <v>1.5</v>
      </c>
      <c r="G26" s="158">
        <f>'INSUMOS - PREÇOS'!F16</f>
        <v>0.82</v>
      </c>
      <c r="H26" s="159">
        <f t="shared" si="0"/>
        <v>1.23</v>
      </c>
    </row>
    <row r="27" spans="1:8" ht="22.5">
      <c r="A27" s="154" t="s">
        <v>130</v>
      </c>
      <c r="B27" s="155" t="s">
        <v>125</v>
      </c>
      <c r="C27" s="155">
        <f>'INSUMOS - PREÇOS'!D19</f>
        <v>4718</v>
      </c>
      <c r="D27" s="156" t="str">
        <f>'INSUMOS - PREÇOS'!A19</f>
        <v>PEDRA BRITADA N. 2 (19 A 38 MM) POSTO PEDREIRA/FORNECEDOR, SEM FRETE</v>
      </c>
      <c r="E27" s="155" t="str">
        <f>'INSUMOS - PREÇOS'!E19</f>
        <v>M³</v>
      </c>
      <c r="F27" s="161">
        <v>9.7999999999999997E-3</v>
      </c>
      <c r="G27" s="158">
        <f>'INSUMOS - PREÇOS'!F19</f>
        <v>105.81</v>
      </c>
      <c r="H27" s="159">
        <f t="shared" si="0"/>
        <v>1.04</v>
      </c>
    </row>
    <row r="28" spans="1:8" ht="33.75">
      <c r="A28" s="154" t="s">
        <v>131</v>
      </c>
      <c r="B28" s="155" t="s">
        <v>125</v>
      </c>
      <c r="C28" s="155">
        <f>'INSUMOS - PREÇOS'!D14</f>
        <v>87445</v>
      </c>
      <c r="D28" s="156" t="str">
        <f>'INSUMOS - PREÇOS'!A14</f>
        <v>BETONEIRA CAPACIDADE NOMINAL 400 L, CAPACIDADE DE MISTURA 310 L, MOTOR A DIESEL POTÊNCIA 5,0 HP, SEM CARREGADOR - CHP DIURNO. AF_06/2014</v>
      </c>
      <c r="E28" s="155" t="str">
        <f>'INSUMOS - PREÇOS'!E14</f>
        <v>H</v>
      </c>
      <c r="F28" s="161">
        <v>6.4999999999999997E-3</v>
      </c>
      <c r="G28" s="158">
        <f>'INSUMOS - PREÇOS'!F14</f>
        <v>4.9800000000000004</v>
      </c>
      <c r="H28" s="159">
        <f t="shared" si="0"/>
        <v>0.03</v>
      </c>
    </row>
    <row r="29" spans="1:8">
      <c r="A29" s="154" t="s">
        <v>131</v>
      </c>
      <c r="B29" s="155" t="s">
        <v>125</v>
      </c>
      <c r="C29" s="155">
        <f>'INSUMOS - PREÇOS'!D15</f>
        <v>88262</v>
      </c>
      <c r="D29" s="156" t="str">
        <f>'INSUMOS - PREÇOS'!A15</f>
        <v>CARPINTEIRO DE FORMAS COM ENCARGOS COMPLEMENTARES</v>
      </c>
      <c r="E29" s="155" t="str">
        <f>'INSUMOS - PREÇOS'!E15</f>
        <v>H</v>
      </c>
      <c r="F29" s="161">
        <v>1</v>
      </c>
      <c r="G29" s="158">
        <f>'INSUMOS - PREÇOS'!F15</f>
        <v>30.2</v>
      </c>
      <c r="H29" s="159">
        <f t="shared" si="0"/>
        <v>30.2</v>
      </c>
    </row>
    <row r="30" spans="1:8">
      <c r="A30" s="154" t="s">
        <v>131</v>
      </c>
      <c r="B30" s="155" t="s">
        <v>125</v>
      </c>
      <c r="C30" s="155">
        <f>'INSUMOS - PREÇOS'!D24</f>
        <v>88316</v>
      </c>
      <c r="D30" s="156" t="str">
        <f>'INSUMOS - PREÇOS'!A24</f>
        <v>SERVENTE COM ENCARGOS COMPLEMENTARES</v>
      </c>
      <c r="E30" s="155" t="str">
        <f>'INSUMOS - PREÇOS'!E24</f>
        <v>H</v>
      </c>
      <c r="F30" s="161">
        <v>2.06</v>
      </c>
      <c r="G30" s="158">
        <f>'INSUMOS - PREÇOS'!F24</f>
        <v>21.47</v>
      </c>
      <c r="H30" s="159">
        <f t="shared" si="0"/>
        <v>44.23</v>
      </c>
    </row>
    <row r="31" spans="1:8" ht="21.95" customHeight="1">
      <c r="A31" s="382"/>
      <c r="B31" s="383"/>
      <c r="C31" s="383"/>
      <c r="D31" s="383"/>
      <c r="E31" s="384" t="s">
        <v>126</v>
      </c>
      <c r="F31" s="385"/>
      <c r="G31" s="386"/>
      <c r="H31" s="160">
        <f>SUM(H21:H30)</f>
        <v>450.28000000000003</v>
      </c>
    </row>
    <row r="32" spans="1:8">
      <c r="A32" s="142"/>
    </row>
  </sheetData>
  <mergeCells count="13">
    <mergeCell ref="D1:H1"/>
    <mergeCell ref="D2:H2"/>
    <mergeCell ref="D3:H3"/>
    <mergeCell ref="A5:H5"/>
    <mergeCell ref="A8:H8"/>
    <mergeCell ref="A31:D31"/>
    <mergeCell ref="E31:G31"/>
    <mergeCell ref="A10:H11"/>
    <mergeCell ref="F12:G12"/>
    <mergeCell ref="B13:D13"/>
    <mergeCell ref="F13:H13"/>
    <mergeCell ref="A18:D18"/>
    <mergeCell ref="E18:G18"/>
  </mergeCells>
  <printOptions horizontalCentered="1"/>
  <pageMargins left="0.511811023622047" right="0.511811023622047" top="0.78740157480314998" bottom="0.78740157480314998" header="0.31496062992126" footer="0.31496062992126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G24"/>
  <sheetViews>
    <sheetView zoomScale="115" zoomScaleNormal="115" workbookViewId="0">
      <selection activeCell="F25" sqref="F25"/>
    </sheetView>
  </sheetViews>
  <sheetFormatPr defaultColWidth="9.140625" defaultRowHeight="12.75"/>
  <cols>
    <col min="1" max="1" width="66.28515625" style="128" customWidth="1"/>
    <col min="2" max="2" width="13.85546875" style="129" customWidth="1"/>
    <col min="3" max="3" width="13.28515625" style="129" customWidth="1"/>
    <col min="4" max="4" width="12.140625" style="129" customWidth="1"/>
    <col min="5" max="5" width="10.28515625" style="129" customWidth="1"/>
    <col min="6" max="6" width="18.85546875" style="129" customWidth="1"/>
    <col min="7" max="7" width="19.28515625" style="129" customWidth="1"/>
    <col min="8" max="16384" width="9.140625" style="128"/>
  </cols>
  <sheetData>
    <row r="2" spans="1:7" ht="45.75" customHeight="1">
      <c r="A2" s="409" t="s">
        <v>5</v>
      </c>
      <c r="B2" s="410"/>
      <c r="C2" s="410"/>
      <c r="D2" s="410"/>
      <c r="E2" s="411"/>
      <c r="F2" s="412"/>
      <c r="G2" s="413"/>
    </row>
    <row r="4" spans="1:7" ht="27.75" customHeight="1">
      <c r="A4" s="130" t="s">
        <v>132</v>
      </c>
      <c r="B4" s="131" t="s">
        <v>133</v>
      </c>
      <c r="C4" s="131" t="s">
        <v>134</v>
      </c>
      <c r="D4" s="131" t="s">
        <v>135</v>
      </c>
      <c r="E4" s="131" t="s">
        <v>136</v>
      </c>
      <c r="F4" s="131" t="s">
        <v>137</v>
      </c>
      <c r="G4" s="131" t="s">
        <v>138</v>
      </c>
    </row>
    <row r="5" spans="1:7">
      <c r="A5" s="132" t="s">
        <v>139</v>
      </c>
      <c r="B5" s="133" t="s">
        <v>140</v>
      </c>
      <c r="C5" s="134">
        <v>45017</v>
      </c>
      <c r="D5" s="133" t="s">
        <v>141</v>
      </c>
      <c r="E5" s="133" t="s">
        <v>142</v>
      </c>
      <c r="F5" s="135">
        <v>303.2158</v>
      </c>
      <c r="G5" s="135">
        <v>100.8479</v>
      </c>
    </row>
    <row r="6" spans="1:7">
      <c r="A6" s="132" t="s">
        <v>143</v>
      </c>
      <c r="B6" s="133" t="s">
        <v>140</v>
      </c>
      <c r="C6" s="134">
        <v>45017</v>
      </c>
      <c r="D6" s="133" t="s">
        <v>144</v>
      </c>
      <c r="E6" s="133" t="s">
        <v>142</v>
      </c>
      <c r="F6" s="135">
        <v>420.5247</v>
      </c>
      <c r="G6" s="135">
        <v>132.48570000000001</v>
      </c>
    </row>
    <row r="7" spans="1:7">
      <c r="A7" s="132" t="s">
        <v>145</v>
      </c>
      <c r="B7" s="133" t="s">
        <v>140</v>
      </c>
      <c r="C7" s="134">
        <v>45017</v>
      </c>
      <c r="D7" s="133" t="s">
        <v>146</v>
      </c>
      <c r="E7" s="133" t="s">
        <v>142</v>
      </c>
      <c r="F7" s="135">
        <v>8.9304000000000006</v>
      </c>
      <c r="G7" s="135">
        <v>1.1386000000000001</v>
      </c>
    </row>
    <row r="8" spans="1:7" ht="25.5">
      <c r="A8" s="132" t="s">
        <v>147</v>
      </c>
      <c r="B8" s="133" t="s">
        <v>140</v>
      </c>
      <c r="C8" s="134">
        <v>45017</v>
      </c>
      <c r="D8" s="133" t="s">
        <v>148</v>
      </c>
      <c r="E8" s="133" t="s">
        <v>149</v>
      </c>
      <c r="F8" s="135">
        <v>334.60169999999999</v>
      </c>
      <c r="G8" s="135">
        <v>156.98480000000001</v>
      </c>
    </row>
    <row r="9" spans="1:7">
      <c r="A9" s="132" t="s">
        <v>150</v>
      </c>
      <c r="B9" s="133" t="s">
        <v>140</v>
      </c>
      <c r="C9" s="134">
        <v>45017</v>
      </c>
      <c r="D9" s="133" t="s">
        <v>151</v>
      </c>
      <c r="E9" s="133" t="s">
        <v>142</v>
      </c>
      <c r="F9" s="135">
        <v>159.5565</v>
      </c>
      <c r="G9" s="135">
        <v>82.704400000000007</v>
      </c>
    </row>
    <row r="10" spans="1:7">
      <c r="A10" s="132" t="s">
        <v>152</v>
      </c>
      <c r="B10" s="133" t="s">
        <v>140</v>
      </c>
      <c r="C10" s="134">
        <v>45017</v>
      </c>
      <c r="D10" s="133" t="s">
        <v>153</v>
      </c>
      <c r="E10" s="133" t="s">
        <v>142</v>
      </c>
      <c r="F10" s="135">
        <v>20.681000000000001</v>
      </c>
      <c r="G10" s="135"/>
    </row>
    <row r="11" spans="1:7">
      <c r="A11" s="136"/>
      <c r="B11" s="137"/>
      <c r="C11" s="137"/>
      <c r="D11" s="137"/>
      <c r="E11" s="137"/>
      <c r="F11" s="138"/>
      <c r="G11" s="139"/>
    </row>
    <row r="12" spans="1:7" ht="25.5">
      <c r="A12" s="130" t="s">
        <v>154</v>
      </c>
      <c r="B12" s="131" t="s">
        <v>133</v>
      </c>
      <c r="C12" s="131" t="s">
        <v>134</v>
      </c>
      <c r="D12" s="131" t="s">
        <v>135</v>
      </c>
      <c r="E12" s="131" t="s">
        <v>136</v>
      </c>
      <c r="F12" s="131" t="s">
        <v>155</v>
      </c>
      <c r="G12" s="139"/>
    </row>
    <row r="13" spans="1:7" ht="25.5">
      <c r="A13" s="132" t="s">
        <v>156</v>
      </c>
      <c r="B13" s="133" t="s">
        <v>125</v>
      </c>
      <c r="C13" s="134">
        <v>45078</v>
      </c>
      <c r="D13" s="133">
        <v>370</v>
      </c>
      <c r="E13" s="133" t="s">
        <v>149</v>
      </c>
      <c r="F13" s="135">
        <v>110</v>
      </c>
      <c r="G13" s="139"/>
    </row>
    <row r="14" spans="1:7" ht="38.25">
      <c r="A14" s="132" t="s">
        <v>157</v>
      </c>
      <c r="B14" s="133" t="s">
        <v>125</v>
      </c>
      <c r="C14" s="134">
        <v>45078</v>
      </c>
      <c r="D14" s="133">
        <v>87445</v>
      </c>
      <c r="E14" s="133" t="s">
        <v>142</v>
      </c>
      <c r="F14" s="135">
        <v>4.9800000000000004</v>
      </c>
      <c r="G14" s="139"/>
    </row>
    <row r="15" spans="1:7">
      <c r="A15" s="132" t="s">
        <v>158</v>
      </c>
      <c r="B15" s="133" t="s">
        <v>125</v>
      </c>
      <c r="C15" s="134">
        <v>45078</v>
      </c>
      <c r="D15" s="133">
        <v>88262</v>
      </c>
      <c r="E15" s="133" t="s">
        <v>142</v>
      </c>
      <c r="F15" s="135">
        <v>30.2</v>
      </c>
      <c r="G15" s="139"/>
    </row>
    <row r="16" spans="1:7">
      <c r="A16" s="132" t="s">
        <v>159</v>
      </c>
      <c r="B16" s="133" t="s">
        <v>125</v>
      </c>
      <c r="C16" s="134">
        <v>45078</v>
      </c>
      <c r="D16" s="133">
        <v>1379</v>
      </c>
      <c r="E16" s="133" t="s">
        <v>160</v>
      </c>
      <c r="F16" s="135">
        <v>0.82</v>
      </c>
      <c r="G16" s="139"/>
    </row>
    <row r="17" spans="1:7">
      <c r="A17" s="132" t="s">
        <v>161</v>
      </c>
      <c r="B17" s="133" t="s">
        <v>125</v>
      </c>
      <c r="C17" s="134">
        <v>45078</v>
      </c>
      <c r="D17" s="133">
        <v>90776</v>
      </c>
      <c r="E17" s="133" t="s">
        <v>142</v>
      </c>
      <c r="F17" s="135">
        <v>36.79</v>
      </c>
      <c r="G17" s="139"/>
    </row>
    <row r="18" spans="1:7" ht="25.5">
      <c r="A18" s="132" t="s">
        <v>162</v>
      </c>
      <c r="B18" s="133" t="s">
        <v>125</v>
      </c>
      <c r="C18" s="134">
        <v>45078</v>
      </c>
      <c r="D18" s="133">
        <v>90777</v>
      </c>
      <c r="E18" s="133" t="s">
        <v>142</v>
      </c>
      <c r="F18" s="135">
        <v>113.34</v>
      </c>
      <c r="G18" s="139"/>
    </row>
    <row r="19" spans="1:7" ht="25.5">
      <c r="A19" s="132" t="s">
        <v>163</v>
      </c>
      <c r="B19" s="133" t="s">
        <v>125</v>
      </c>
      <c r="C19" s="134">
        <v>45078</v>
      </c>
      <c r="D19" s="133">
        <v>4718</v>
      </c>
      <c r="E19" s="133" t="s">
        <v>149</v>
      </c>
      <c r="F19" s="135">
        <v>105.81</v>
      </c>
      <c r="G19" s="139"/>
    </row>
    <row r="20" spans="1:7" ht="38.25">
      <c r="A20" s="132" t="s">
        <v>164</v>
      </c>
      <c r="B20" s="133" t="s">
        <v>125</v>
      </c>
      <c r="C20" s="134">
        <v>45078</v>
      </c>
      <c r="D20" s="133">
        <v>4813</v>
      </c>
      <c r="E20" s="133" t="s">
        <v>129</v>
      </c>
      <c r="F20" s="135">
        <v>325</v>
      </c>
      <c r="G20" s="139"/>
    </row>
    <row r="21" spans="1:7" ht="25.5">
      <c r="A21" s="132" t="s">
        <v>165</v>
      </c>
      <c r="B21" s="133" t="s">
        <v>125</v>
      </c>
      <c r="C21" s="134">
        <v>45078</v>
      </c>
      <c r="D21" s="133">
        <v>4491</v>
      </c>
      <c r="E21" s="133" t="s">
        <v>166</v>
      </c>
      <c r="F21" s="135">
        <v>9.65</v>
      </c>
      <c r="G21" s="139"/>
    </row>
    <row r="22" spans="1:7">
      <c r="A22" s="132" t="s">
        <v>167</v>
      </c>
      <c r="B22" s="133" t="s">
        <v>125</v>
      </c>
      <c r="C22" s="134">
        <v>45078</v>
      </c>
      <c r="D22" s="133">
        <v>5075</v>
      </c>
      <c r="E22" s="133" t="s">
        <v>160</v>
      </c>
      <c r="F22" s="135">
        <v>20.29</v>
      </c>
      <c r="G22" s="139"/>
    </row>
    <row r="23" spans="1:7" ht="25.5">
      <c r="A23" s="132" t="s">
        <v>168</v>
      </c>
      <c r="B23" s="133" t="s">
        <v>125</v>
      </c>
      <c r="C23" s="134">
        <v>45078</v>
      </c>
      <c r="D23" s="133">
        <v>4417</v>
      </c>
      <c r="E23" s="133" t="s">
        <v>166</v>
      </c>
      <c r="F23" s="135">
        <v>7.18</v>
      </c>
      <c r="G23" s="139"/>
    </row>
    <row r="24" spans="1:7">
      <c r="A24" s="132" t="s">
        <v>169</v>
      </c>
      <c r="B24" s="133" t="s">
        <v>125</v>
      </c>
      <c r="C24" s="134">
        <v>45078</v>
      </c>
      <c r="D24" s="133">
        <v>88316</v>
      </c>
      <c r="E24" s="133" t="s">
        <v>142</v>
      </c>
      <c r="F24" s="135">
        <v>21.47</v>
      </c>
      <c r="G24" s="139"/>
    </row>
  </sheetData>
  <sortState xmlns:xlrd2="http://schemas.microsoft.com/office/spreadsheetml/2017/richdata2" ref="A13:G24">
    <sortCondition ref="A13:A24"/>
  </sortState>
  <mergeCells count="2">
    <mergeCell ref="A2:E2"/>
    <mergeCell ref="F2:G2"/>
  </mergeCells>
  <pageMargins left="0.511811024" right="0.511811024" top="0.78740157499999996" bottom="0.78740157499999996" header="0.31496062000000002" footer="0.31496062000000002"/>
  <pageSetup paperSize="9"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O27"/>
  <sheetViews>
    <sheetView workbookViewId="0">
      <selection activeCell="G27" sqref="G27:H27"/>
    </sheetView>
  </sheetViews>
  <sheetFormatPr defaultColWidth="9.140625" defaultRowHeight="12.75"/>
  <cols>
    <col min="1" max="1" width="2.85546875" style="107" customWidth="1"/>
    <col min="2" max="2" width="9.140625" style="107"/>
    <col min="3" max="3" width="17.5703125" style="107" customWidth="1"/>
    <col min="4" max="4" width="13.140625" style="107" customWidth="1"/>
    <col min="5" max="7" width="9.140625" style="107"/>
    <col min="8" max="8" width="17.140625" style="107" customWidth="1"/>
    <col min="9" max="16384" width="9.140625" style="107"/>
  </cols>
  <sheetData>
    <row r="2" spans="2:15" s="106" customFormat="1" ht="15.75" customHeight="1">
      <c r="B2" s="426" t="s">
        <v>170</v>
      </c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8"/>
    </row>
    <row r="3" spans="2:15" s="106" customFormat="1" ht="15.75" customHeight="1">
      <c r="B3" s="429" t="s">
        <v>171</v>
      </c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1"/>
    </row>
    <row r="4" spans="2:15" s="106" customFormat="1" ht="15.75" customHeight="1">
      <c r="B4" s="429" t="s">
        <v>172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1"/>
    </row>
    <row r="5" spans="2:15" s="106" customFormat="1" ht="15.75" customHeight="1">
      <c r="B5" s="429" t="s">
        <v>173</v>
      </c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  <c r="N5" s="430"/>
      <c r="O5" s="431"/>
    </row>
    <row r="6" spans="2:15">
      <c r="B6" s="108"/>
      <c r="E6" s="109"/>
      <c r="F6" s="109"/>
      <c r="G6" s="3"/>
      <c r="O6" s="122"/>
    </row>
    <row r="7" spans="2:15" ht="27" customHeight="1">
      <c r="B7" s="441" t="s">
        <v>5</v>
      </c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3"/>
    </row>
    <row r="8" spans="2:15">
      <c r="B8" s="444"/>
      <c r="C8" s="445"/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446"/>
    </row>
    <row r="9" spans="2:15" ht="26.25" customHeight="1">
      <c r="B9" s="447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449"/>
    </row>
    <row r="10" spans="2:15" ht="12.75" customHeight="1">
      <c r="B10" s="108"/>
      <c r="O10" s="122"/>
    </row>
    <row r="11" spans="2:15">
      <c r="B11" s="435" t="s">
        <v>174</v>
      </c>
      <c r="C11" s="436"/>
      <c r="D11" s="436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7"/>
    </row>
    <row r="12" spans="2:15">
      <c r="B12" s="438"/>
      <c r="C12" s="439"/>
      <c r="D12" s="439"/>
      <c r="E12" s="439"/>
      <c r="F12" s="439"/>
      <c r="G12" s="439"/>
      <c r="H12" s="439"/>
      <c r="I12" s="439"/>
      <c r="J12" s="439"/>
      <c r="K12" s="439"/>
      <c r="L12" s="439"/>
      <c r="M12" s="439"/>
      <c r="N12" s="439"/>
      <c r="O12" s="440"/>
    </row>
    <row r="13" spans="2:15" ht="15.75" customHeight="1">
      <c r="B13" s="110"/>
      <c r="C13" s="111"/>
      <c r="D13" s="111"/>
      <c r="E13" s="111"/>
      <c r="F13" s="111"/>
      <c r="G13" s="111"/>
      <c r="O13" s="122"/>
    </row>
    <row r="14" spans="2:15">
      <c r="B14" s="432" t="s">
        <v>175</v>
      </c>
      <c r="C14" s="433"/>
      <c r="D14" s="434" t="s">
        <v>176</v>
      </c>
      <c r="E14" s="434"/>
      <c r="F14" s="434"/>
      <c r="G14" s="112"/>
      <c r="O14" s="122"/>
    </row>
    <row r="15" spans="2:15">
      <c r="B15" s="414" t="s">
        <v>177</v>
      </c>
      <c r="C15" s="415"/>
      <c r="D15" s="417" t="s">
        <v>178</v>
      </c>
      <c r="E15" s="417"/>
      <c r="F15" s="417"/>
      <c r="G15" s="113"/>
      <c r="H15" s="113"/>
      <c r="I15" s="113"/>
      <c r="J15" s="113"/>
      <c r="K15" s="113"/>
      <c r="L15" s="113"/>
      <c r="O15" s="122"/>
    </row>
    <row r="16" spans="2:15">
      <c r="B16" s="423" t="s">
        <v>179</v>
      </c>
      <c r="C16" s="424"/>
      <c r="D16" s="114">
        <v>75</v>
      </c>
      <c r="E16" s="115" t="s">
        <v>180</v>
      </c>
      <c r="O16" s="122"/>
    </row>
    <row r="17" spans="2:15">
      <c r="B17" s="414" t="s">
        <v>181</v>
      </c>
      <c r="C17" s="415"/>
      <c r="D17" s="114">
        <v>1</v>
      </c>
      <c r="E17" s="115"/>
      <c r="O17" s="122"/>
    </row>
    <row r="18" spans="2:15">
      <c r="B18" s="116"/>
      <c r="C18" s="115"/>
      <c r="D18" s="117"/>
      <c r="E18" s="115"/>
      <c r="O18" s="122"/>
    </row>
    <row r="19" spans="2:15">
      <c r="B19" s="414" t="s">
        <v>182</v>
      </c>
      <c r="C19" s="425"/>
      <c r="D19" s="118">
        <f>ROUND((D16*D17),2)</f>
        <v>75</v>
      </c>
      <c r="E19" s="115" t="s">
        <v>180</v>
      </c>
      <c r="O19" s="122"/>
    </row>
    <row r="20" spans="2:15">
      <c r="B20" s="116"/>
      <c r="C20" s="115"/>
      <c r="D20" s="115"/>
      <c r="E20" s="115"/>
      <c r="O20" s="122"/>
    </row>
    <row r="21" spans="2:15">
      <c r="B21" s="414" t="s">
        <v>183</v>
      </c>
      <c r="C21" s="415"/>
      <c r="D21" s="115"/>
      <c r="E21" s="115"/>
      <c r="F21" s="119" t="s">
        <v>184</v>
      </c>
      <c r="G21" s="119"/>
      <c r="H21" s="119"/>
      <c r="I21" s="114">
        <v>22.2</v>
      </c>
      <c r="J21" s="115" t="s">
        <v>185</v>
      </c>
      <c r="K21" s="114"/>
      <c r="O21" s="122"/>
    </row>
    <row r="22" spans="2:15">
      <c r="B22" s="120"/>
      <c r="C22" s="119"/>
      <c r="D22" s="115"/>
      <c r="E22" s="115"/>
      <c r="F22" s="119" t="s">
        <v>186</v>
      </c>
      <c r="G22" s="119"/>
      <c r="H22" s="119"/>
      <c r="I22" s="114">
        <v>7.86</v>
      </c>
      <c r="J22" s="115" t="s">
        <v>185</v>
      </c>
      <c r="K22" s="114"/>
      <c r="O22" s="122"/>
    </row>
    <row r="23" spans="2:15">
      <c r="B23" s="120"/>
      <c r="C23" s="119"/>
      <c r="D23" s="115"/>
      <c r="E23" s="115"/>
      <c r="F23" s="416"/>
      <c r="G23" s="416"/>
      <c r="H23" s="416"/>
      <c r="I23" s="123"/>
      <c r="J23" s="124"/>
      <c r="K23" s="114"/>
      <c r="O23" s="122"/>
    </row>
    <row r="24" spans="2:15">
      <c r="B24" s="108"/>
      <c r="F24" s="417" t="s">
        <v>187</v>
      </c>
      <c r="G24" s="417"/>
      <c r="H24" s="418"/>
      <c r="I24" s="125">
        <f>ROUND((SUM(I21:I23)),2)</f>
        <v>30.06</v>
      </c>
      <c r="J24" s="115" t="s">
        <v>188</v>
      </c>
      <c r="L24" s="109"/>
      <c r="O24" s="126"/>
    </row>
    <row r="25" spans="2:15">
      <c r="B25" s="108"/>
      <c r="O25" s="122"/>
    </row>
    <row r="26" spans="2:15">
      <c r="B26" s="108"/>
      <c r="O26" s="122"/>
    </row>
    <row r="27" spans="2:15" ht="15.75">
      <c r="B27" s="419" t="str">
        <f>"Momento de transporte  =  "&amp;TEXT(I24,"0,00")&amp;"  x  "&amp;TEXT(D19,"0,00")&amp;"            =&gt;"</f>
        <v>Momento de transporte  =  30,06  x  75,00            =&gt;</v>
      </c>
      <c r="C27" s="420"/>
      <c r="D27" s="420"/>
      <c r="E27" s="420"/>
      <c r="F27" s="121"/>
      <c r="G27" s="421">
        <f>ROUND(D19*I24,2)</f>
        <v>2254.5</v>
      </c>
      <c r="H27" s="422"/>
      <c r="I27" s="121" t="s">
        <v>189</v>
      </c>
      <c r="J27" s="121"/>
      <c r="K27" s="121"/>
      <c r="L27" s="121"/>
      <c r="M27" s="121"/>
      <c r="N27" s="121"/>
      <c r="O27" s="127"/>
    </row>
  </sheetData>
  <mergeCells count="18">
    <mergeCell ref="B2:O2"/>
    <mergeCell ref="B3:O3"/>
    <mergeCell ref="B4:O4"/>
    <mergeCell ref="B5:O5"/>
    <mergeCell ref="B14:C14"/>
    <mergeCell ref="D14:F14"/>
    <mergeCell ref="B11:O12"/>
    <mergeCell ref="B7:O9"/>
    <mergeCell ref="B15:C15"/>
    <mergeCell ref="D15:F15"/>
    <mergeCell ref="B16:C16"/>
    <mergeCell ref="B17:C17"/>
    <mergeCell ref="B19:C19"/>
    <mergeCell ref="B21:C21"/>
    <mergeCell ref="F23:H23"/>
    <mergeCell ref="F24:H24"/>
    <mergeCell ref="B27:E27"/>
    <mergeCell ref="G27:H27"/>
  </mergeCells>
  <pageMargins left="0.511811023622047" right="0.511811023622047" top="0.78740157480314998" bottom="0.78740157480314998" header="0.31496062992126" footer="0.31496062992126"/>
  <pageSetup paperSize="9" scale="9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P37"/>
  <sheetViews>
    <sheetView view="pageBreakPreview" zoomScaleNormal="100" workbookViewId="0">
      <selection activeCell="L4" sqref="L4"/>
    </sheetView>
  </sheetViews>
  <sheetFormatPr defaultColWidth="10.28515625" defaultRowHeight="14.25"/>
  <cols>
    <col min="1" max="1" width="10.28515625" style="52"/>
    <col min="2" max="2" width="13.5703125" style="52" customWidth="1"/>
    <col min="3" max="3" width="47" style="52" customWidth="1"/>
    <col min="4" max="5" width="10.28515625" style="52"/>
    <col min="6" max="6" width="11" style="52" customWidth="1"/>
    <col min="7" max="8" width="10.28515625" style="52"/>
    <col min="9" max="9" width="11" style="52" customWidth="1"/>
    <col min="10" max="16384" width="10.28515625" style="52"/>
  </cols>
  <sheetData>
    <row r="2" spans="2:16" ht="20.25">
      <c r="B2" s="521" t="s">
        <v>190</v>
      </c>
      <c r="C2" s="522"/>
      <c r="D2" s="522"/>
      <c r="E2" s="522"/>
      <c r="F2" s="522"/>
      <c r="G2" s="522"/>
      <c r="H2" s="522"/>
      <c r="I2" s="523"/>
      <c r="J2" s="94"/>
      <c r="K2" s="94"/>
      <c r="L2" s="94"/>
      <c r="M2" s="94"/>
      <c r="N2" s="94"/>
      <c r="O2" s="94"/>
      <c r="P2" s="94"/>
    </row>
    <row r="3" spans="2:16" ht="20.25">
      <c r="B3" s="524"/>
      <c r="C3" s="525"/>
      <c r="D3" s="525"/>
      <c r="E3" s="525"/>
      <c r="F3" s="525"/>
      <c r="G3" s="525"/>
      <c r="H3" s="525"/>
      <c r="I3" s="526"/>
      <c r="J3" s="94"/>
      <c r="K3" s="94"/>
      <c r="L3" s="94"/>
      <c r="M3" s="94"/>
      <c r="N3" s="94"/>
      <c r="O3" s="94"/>
      <c r="P3" s="94"/>
    </row>
    <row r="4" spans="2:16" ht="43.5" customHeight="1">
      <c r="B4" s="53" t="s">
        <v>191</v>
      </c>
      <c r="C4" s="527" t="s">
        <v>192</v>
      </c>
      <c r="D4" s="528"/>
      <c r="E4" s="528"/>
      <c r="F4" s="528"/>
      <c r="G4" s="528"/>
      <c r="H4" s="528"/>
      <c r="I4" s="529"/>
      <c r="J4" s="94"/>
      <c r="K4" s="94"/>
      <c r="L4" s="94"/>
      <c r="M4" s="94"/>
      <c r="N4" s="94"/>
      <c r="O4" s="94"/>
      <c r="P4" s="94"/>
    </row>
    <row r="5" spans="2:16" ht="15.75">
      <c r="B5" s="54"/>
      <c r="C5" s="530"/>
      <c r="D5" s="530"/>
      <c r="E5" s="530"/>
      <c r="F5" s="530"/>
      <c r="G5" s="530"/>
      <c r="H5" s="530"/>
      <c r="I5" s="531"/>
      <c r="J5" s="94"/>
      <c r="K5" s="94"/>
      <c r="L5" s="94"/>
      <c r="M5" s="94"/>
      <c r="N5" s="94"/>
      <c r="O5" s="94"/>
      <c r="P5" s="94"/>
    </row>
    <row r="6" spans="2:16" ht="18">
      <c r="B6" s="532" t="s">
        <v>193</v>
      </c>
      <c r="C6" s="533"/>
      <c r="D6" s="533"/>
      <c r="E6" s="533"/>
      <c r="F6" s="533"/>
      <c r="G6" s="533"/>
      <c r="H6" s="533"/>
      <c r="I6" s="534"/>
      <c r="J6" s="94"/>
      <c r="K6" s="94"/>
      <c r="L6" s="94"/>
      <c r="M6" s="94"/>
      <c r="N6" s="94"/>
      <c r="O6" s="94"/>
      <c r="P6" s="94"/>
    </row>
    <row r="7" spans="2:16" ht="15">
      <c r="B7" s="55"/>
      <c r="C7" s="56"/>
      <c r="D7" s="56"/>
      <c r="E7" s="56"/>
      <c r="F7" s="56"/>
      <c r="G7" s="57"/>
      <c r="H7" s="57"/>
      <c r="I7" s="95"/>
      <c r="J7" s="94"/>
      <c r="K7" s="94"/>
      <c r="L7" s="94"/>
      <c r="M7" s="513" t="s">
        <v>194</v>
      </c>
      <c r="N7" s="513"/>
      <c r="O7" s="513"/>
      <c r="P7" s="513"/>
    </row>
    <row r="8" spans="2:16" ht="15">
      <c r="B8" s="514" t="s">
        <v>195</v>
      </c>
      <c r="C8" s="515"/>
      <c r="D8" s="516"/>
      <c r="E8" s="56"/>
      <c r="F8" s="464" t="s">
        <v>196</v>
      </c>
      <c r="G8" s="465"/>
      <c r="H8" s="465"/>
      <c r="I8" s="466"/>
      <c r="J8" s="94"/>
      <c r="K8" s="94"/>
      <c r="L8" s="94"/>
      <c r="M8" s="470" t="s">
        <v>196</v>
      </c>
      <c r="N8" s="471"/>
      <c r="O8" s="471"/>
      <c r="P8" s="472"/>
    </row>
    <row r="9" spans="2:16">
      <c r="B9" s="478" t="s">
        <v>9</v>
      </c>
      <c r="C9" s="482" t="s">
        <v>197</v>
      </c>
      <c r="D9" s="486" t="s">
        <v>198</v>
      </c>
      <c r="E9" s="58"/>
      <c r="F9" s="467"/>
      <c r="G9" s="468"/>
      <c r="H9" s="468"/>
      <c r="I9" s="469"/>
      <c r="J9" s="94"/>
      <c r="K9" s="94"/>
      <c r="L9" s="94"/>
      <c r="M9" s="473"/>
      <c r="N9" s="474"/>
      <c r="O9" s="474"/>
      <c r="P9" s="475"/>
    </row>
    <row r="10" spans="2:16">
      <c r="B10" s="479"/>
      <c r="C10" s="483"/>
      <c r="D10" s="487"/>
      <c r="E10" s="58"/>
      <c r="F10" s="59" t="s">
        <v>199</v>
      </c>
      <c r="G10" s="517" t="s">
        <v>200</v>
      </c>
      <c r="H10" s="518"/>
      <c r="I10" s="96" t="s">
        <v>201</v>
      </c>
      <c r="J10" s="94"/>
      <c r="K10" s="94"/>
      <c r="L10" s="94"/>
      <c r="M10" s="59" t="s">
        <v>199</v>
      </c>
      <c r="N10" s="517" t="s">
        <v>200</v>
      </c>
      <c r="O10" s="518"/>
      <c r="P10" s="96" t="s">
        <v>201</v>
      </c>
    </row>
    <row r="11" spans="2:16">
      <c r="B11" s="519"/>
      <c r="C11" s="520"/>
      <c r="D11" s="520"/>
      <c r="E11" s="60"/>
      <c r="F11" s="60"/>
      <c r="G11" s="57"/>
      <c r="H11" s="57"/>
      <c r="I11" s="95"/>
      <c r="J11" s="94"/>
      <c r="K11" s="94"/>
      <c r="L11" s="94"/>
      <c r="M11" s="60"/>
      <c r="N11" s="57"/>
      <c r="O11" s="57"/>
      <c r="P11" s="95"/>
    </row>
    <row r="12" spans="2:16">
      <c r="B12" s="61" t="s">
        <v>202</v>
      </c>
      <c r="C12" s="492" t="s">
        <v>203</v>
      </c>
      <c r="D12" s="493"/>
      <c r="E12" s="62"/>
      <c r="F12" s="63"/>
      <c r="G12" s="511"/>
      <c r="H12" s="512"/>
      <c r="I12" s="97"/>
      <c r="J12" s="94"/>
      <c r="K12" s="94"/>
      <c r="L12" s="94"/>
      <c r="M12" s="63"/>
      <c r="N12" s="511"/>
      <c r="O12" s="512"/>
      <c r="P12" s="97"/>
    </row>
    <row r="13" spans="2:16">
      <c r="B13" s="64" t="s">
        <v>204</v>
      </c>
      <c r="C13" s="65" t="s">
        <v>205</v>
      </c>
      <c r="D13" s="66">
        <f>G13</f>
        <v>4.0000000000000001E-3</v>
      </c>
      <c r="E13" s="67"/>
      <c r="F13" s="68">
        <v>3.2000000000000002E-3</v>
      </c>
      <c r="G13" s="505">
        <v>4.0000000000000001E-3</v>
      </c>
      <c r="H13" s="506"/>
      <c r="I13" s="98">
        <v>7.4000000000000003E-3</v>
      </c>
      <c r="J13" s="94"/>
      <c r="K13" s="94"/>
      <c r="L13" s="94"/>
      <c r="M13" s="68">
        <v>3.2000000000000002E-3</v>
      </c>
      <c r="N13" s="505">
        <v>4.0000000000000001E-3</v>
      </c>
      <c r="O13" s="506"/>
      <c r="P13" s="98">
        <v>7.4000000000000003E-3</v>
      </c>
    </row>
    <row r="14" spans="2:16">
      <c r="B14" s="64" t="s">
        <v>206</v>
      </c>
      <c r="C14" s="65" t="s">
        <v>207</v>
      </c>
      <c r="D14" s="66">
        <f t="shared" ref="D14:D16" si="0">G14</f>
        <v>5.5999999999999999E-3</v>
      </c>
      <c r="E14" s="67"/>
      <c r="F14" s="68">
        <v>5.0000000000000001E-3</v>
      </c>
      <c r="G14" s="505">
        <v>5.5999999999999999E-3</v>
      </c>
      <c r="H14" s="506"/>
      <c r="I14" s="98">
        <v>9.7000000000000003E-3</v>
      </c>
      <c r="J14" s="94"/>
      <c r="K14" s="94"/>
      <c r="L14" s="94"/>
      <c r="M14" s="68">
        <v>5.0000000000000001E-3</v>
      </c>
      <c r="N14" s="505">
        <v>5.5999999999999999E-3</v>
      </c>
      <c r="O14" s="506"/>
      <c r="P14" s="98">
        <v>9.7000000000000003E-3</v>
      </c>
    </row>
    <row r="15" spans="2:16">
      <c r="B15" s="64" t="s">
        <v>208</v>
      </c>
      <c r="C15" s="65" t="s">
        <v>209</v>
      </c>
      <c r="D15" s="66">
        <f t="shared" si="0"/>
        <v>1.11E-2</v>
      </c>
      <c r="E15" s="67"/>
      <c r="F15" s="69">
        <v>1.0200000000000001E-2</v>
      </c>
      <c r="G15" s="505">
        <v>1.11E-2</v>
      </c>
      <c r="H15" s="506"/>
      <c r="I15" s="98">
        <v>1.21E-2</v>
      </c>
      <c r="J15" s="94"/>
      <c r="K15" s="94"/>
      <c r="L15" s="94"/>
      <c r="M15" s="69">
        <v>1.0200000000000001E-2</v>
      </c>
      <c r="N15" s="505">
        <v>1.11E-2</v>
      </c>
      <c r="O15" s="506"/>
      <c r="P15" s="98">
        <v>1.21E-2</v>
      </c>
    </row>
    <row r="16" spans="2:16">
      <c r="B16" s="64" t="s">
        <v>210</v>
      </c>
      <c r="C16" s="65" t="s">
        <v>211</v>
      </c>
      <c r="D16" s="66">
        <f t="shared" si="0"/>
        <v>4.0099999999999997E-2</v>
      </c>
      <c r="E16" s="67"/>
      <c r="F16" s="69">
        <v>3.7999999999999999E-2</v>
      </c>
      <c r="G16" s="505">
        <v>4.0099999999999997E-2</v>
      </c>
      <c r="H16" s="506"/>
      <c r="I16" s="98">
        <v>4.6699999999999998E-2</v>
      </c>
      <c r="J16" s="94"/>
      <c r="K16" s="94"/>
      <c r="L16" s="94"/>
      <c r="M16" s="69">
        <v>3.7999999999999999E-2</v>
      </c>
      <c r="N16" s="505">
        <v>4.0099999999999997E-2</v>
      </c>
      <c r="O16" s="506"/>
      <c r="P16" s="98">
        <v>4.6699999999999998E-2</v>
      </c>
    </row>
    <row r="17" spans="2:16">
      <c r="B17" s="499" t="s">
        <v>212</v>
      </c>
      <c r="C17" s="500"/>
      <c r="D17" s="70">
        <f>SUM(D13:D16)</f>
        <v>6.08E-2</v>
      </c>
      <c r="E17" s="71"/>
      <c r="F17" s="72"/>
      <c r="G17" s="507"/>
      <c r="H17" s="508"/>
      <c r="I17" s="99"/>
      <c r="J17" s="94"/>
      <c r="K17" s="94"/>
      <c r="L17" s="94"/>
      <c r="M17" s="72"/>
      <c r="N17" s="507"/>
      <c r="O17" s="508"/>
      <c r="P17" s="99"/>
    </row>
    <row r="18" spans="2:16">
      <c r="B18" s="490"/>
      <c r="C18" s="491"/>
      <c r="D18" s="491"/>
      <c r="E18" s="73"/>
      <c r="F18" s="67"/>
      <c r="G18" s="67"/>
      <c r="H18" s="67"/>
      <c r="I18" s="100"/>
      <c r="J18" s="94"/>
      <c r="K18" s="94"/>
      <c r="L18" s="94"/>
      <c r="M18" s="67"/>
      <c r="N18" s="67"/>
      <c r="O18" s="67"/>
      <c r="P18" s="100"/>
    </row>
    <row r="19" spans="2:16">
      <c r="B19" s="61" t="s">
        <v>213</v>
      </c>
      <c r="C19" s="492" t="s">
        <v>214</v>
      </c>
      <c r="D19" s="493"/>
      <c r="E19" s="62"/>
      <c r="F19" s="74"/>
      <c r="G19" s="509"/>
      <c r="H19" s="510"/>
      <c r="I19" s="101"/>
      <c r="J19" s="94"/>
      <c r="K19" s="94"/>
      <c r="L19" s="94"/>
      <c r="M19" s="74"/>
      <c r="N19" s="509"/>
      <c r="O19" s="510"/>
      <c r="P19" s="101"/>
    </row>
    <row r="20" spans="2:16">
      <c r="B20" s="64" t="s">
        <v>215</v>
      </c>
      <c r="C20" s="65" t="s">
        <v>216</v>
      </c>
      <c r="D20" s="66">
        <v>6.8599999999999994E-2</v>
      </c>
      <c r="E20" s="67"/>
      <c r="F20" s="69">
        <v>6.6400000000000001E-2</v>
      </c>
      <c r="G20" s="505">
        <v>7.2999999999999995E-2</v>
      </c>
      <c r="H20" s="506"/>
      <c r="I20" s="98">
        <v>8.6900000000000005E-2</v>
      </c>
      <c r="J20" s="94"/>
      <c r="K20" s="94"/>
      <c r="L20" s="94"/>
      <c r="M20" s="69">
        <v>6.6400000000000001E-2</v>
      </c>
      <c r="N20" s="505">
        <v>7.2999999999999995E-2</v>
      </c>
      <c r="O20" s="506"/>
      <c r="P20" s="98">
        <v>8.6900000000000005E-2</v>
      </c>
    </row>
    <row r="21" spans="2:16">
      <c r="B21" s="499" t="s">
        <v>217</v>
      </c>
      <c r="C21" s="500"/>
      <c r="D21" s="70">
        <f>SUM(D20)</f>
        <v>6.8599999999999994E-2</v>
      </c>
      <c r="E21" s="71"/>
      <c r="F21" s="72"/>
      <c r="G21" s="507"/>
      <c r="H21" s="508"/>
      <c r="I21" s="99"/>
      <c r="J21" s="94"/>
      <c r="K21" s="94"/>
      <c r="L21" s="94"/>
      <c r="M21" s="72"/>
      <c r="N21" s="507"/>
      <c r="O21" s="508"/>
      <c r="P21" s="99"/>
    </row>
    <row r="22" spans="2:16">
      <c r="B22" s="490"/>
      <c r="C22" s="491"/>
      <c r="D22" s="491"/>
      <c r="E22" s="73"/>
      <c r="F22" s="67"/>
      <c r="G22" s="67"/>
      <c r="H22" s="67"/>
      <c r="I22" s="100"/>
      <c r="J22" s="94"/>
      <c r="K22" s="94"/>
      <c r="L22" s="94"/>
      <c r="M22" s="94"/>
      <c r="N22" s="94"/>
      <c r="O22" s="94"/>
      <c r="P22" s="94"/>
    </row>
    <row r="23" spans="2:16">
      <c r="B23" s="61" t="s">
        <v>218</v>
      </c>
      <c r="C23" s="492" t="s">
        <v>219</v>
      </c>
      <c r="D23" s="493"/>
      <c r="E23" s="62"/>
      <c r="F23" s="494" t="s">
        <v>220</v>
      </c>
      <c r="G23" s="495"/>
      <c r="H23" s="495"/>
      <c r="I23" s="496"/>
      <c r="J23" s="94"/>
      <c r="K23" s="94"/>
      <c r="L23" s="94"/>
      <c r="M23" s="94"/>
      <c r="N23" s="94"/>
      <c r="O23" s="94"/>
      <c r="P23" s="94"/>
    </row>
    <row r="24" spans="2:16" ht="19.5" customHeight="1">
      <c r="B24" s="64" t="s">
        <v>221</v>
      </c>
      <c r="C24" s="65" t="s">
        <v>222</v>
      </c>
      <c r="D24" s="66">
        <v>6.4999999999999997E-3</v>
      </c>
      <c r="E24" s="67"/>
      <c r="F24" s="501" t="s">
        <v>223</v>
      </c>
      <c r="G24" s="460" t="s">
        <v>224</v>
      </c>
      <c r="H24" s="461"/>
      <c r="I24" s="503" t="s">
        <v>225</v>
      </c>
      <c r="J24" s="94"/>
      <c r="K24" s="94"/>
      <c r="L24" s="94"/>
      <c r="M24" s="94"/>
      <c r="N24" s="94"/>
      <c r="O24" s="94"/>
      <c r="P24" s="94"/>
    </row>
    <row r="25" spans="2:16" ht="19.5" customHeight="1">
      <c r="B25" s="64" t="s">
        <v>226</v>
      </c>
      <c r="C25" s="65" t="s">
        <v>227</v>
      </c>
      <c r="D25" s="66">
        <v>0.03</v>
      </c>
      <c r="E25" s="67"/>
      <c r="F25" s="502"/>
      <c r="G25" s="462"/>
      <c r="H25" s="463"/>
      <c r="I25" s="504"/>
      <c r="J25" s="94"/>
      <c r="K25" s="94"/>
      <c r="L25" s="94"/>
      <c r="M25" s="94"/>
      <c r="N25" s="94"/>
      <c r="O25" s="94"/>
      <c r="P25" s="94"/>
    </row>
    <row r="26" spans="2:16">
      <c r="B26" s="480" t="s">
        <v>228</v>
      </c>
      <c r="C26" s="484" t="s">
        <v>229</v>
      </c>
      <c r="D26" s="488">
        <f>I27</f>
        <v>0.03</v>
      </c>
      <c r="E26" s="67"/>
      <c r="F26" s="77"/>
      <c r="G26" s="67"/>
      <c r="H26" s="67"/>
      <c r="I26" s="100"/>
      <c r="J26" s="94"/>
      <c r="K26" s="94"/>
      <c r="L26" s="94"/>
      <c r="M26" s="94"/>
      <c r="N26" s="94"/>
      <c r="O26" s="94"/>
      <c r="P26" s="94"/>
    </row>
    <row r="27" spans="2:16">
      <c r="B27" s="481"/>
      <c r="C27" s="485"/>
      <c r="D27" s="489"/>
      <c r="E27" s="67"/>
      <c r="F27" s="78">
        <v>0.05</v>
      </c>
      <c r="G27" s="497">
        <v>0.6</v>
      </c>
      <c r="H27" s="498"/>
      <c r="I27" s="102">
        <f>G27*F27</f>
        <v>0.03</v>
      </c>
      <c r="J27" s="94"/>
      <c r="K27" s="94"/>
      <c r="L27" s="94"/>
      <c r="M27" s="94"/>
      <c r="N27" s="94"/>
      <c r="O27" s="94"/>
      <c r="P27" s="94"/>
    </row>
    <row r="28" spans="2:16">
      <c r="B28" s="75" t="s">
        <v>230</v>
      </c>
      <c r="C28" s="79" t="s">
        <v>231</v>
      </c>
      <c r="D28" s="76">
        <v>0</v>
      </c>
      <c r="E28" s="67"/>
      <c r="F28" s="80"/>
      <c r="G28" s="80"/>
      <c r="H28" s="80"/>
      <c r="I28" s="103"/>
      <c r="J28" s="94"/>
      <c r="K28" s="94"/>
      <c r="L28" s="94"/>
      <c r="M28" s="94"/>
      <c r="N28" s="94"/>
      <c r="O28" s="94"/>
      <c r="P28" s="94"/>
    </row>
    <row r="29" spans="2:16">
      <c r="B29" s="499" t="s">
        <v>232</v>
      </c>
      <c r="C29" s="500"/>
      <c r="D29" s="70">
        <f>SUM(D24:D28)</f>
        <v>6.6500000000000004E-2</v>
      </c>
      <c r="E29" s="71"/>
      <c r="F29" s="81"/>
      <c r="G29" s="81"/>
      <c r="H29" s="81"/>
      <c r="I29" s="104"/>
      <c r="J29" s="94"/>
      <c r="K29" s="94"/>
      <c r="L29" s="94"/>
      <c r="M29" s="94"/>
      <c r="N29" s="94"/>
      <c r="O29" s="94"/>
      <c r="P29" s="94"/>
    </row>
    <row r="30" spans="2:16">
      <c r="B30" s="476"/>
      <c r="C30" s="477"/>
      <c r="D30" s="477"/>
      <c r="E30" s="73"/>
      <c r="F30" s="81"/>
      <c r="G30" s="81"/>
      <c r="H30" s="81"/>
      <c r="I30" s="104"/>
      <c r="J30" s="94"/>
      <c r="K30" s="94"/>
      <c r="L30" s="94"/>
      <c r="M30" s="94"/>
      <c r="N30" s="94"/>
      <c r="O30" s="94"/>
      <c r="P30" s="94"/>
    </row>
    <row r="31" spans="2:16">
      <c r="B31" s="82"/>
      <c r="C31" s="62" t="s">
        <v>233</v>
      </c>
      <c r="D31" s="83"/>
      <c r="E31" s="83"/>
      <c r="F31" s="81"/>
      <c r="G31" s="81"/>
      <c r="H31" s="81"/>
      <c r="I31" s="104"/>
      <c r="J31" s="94"/>
      <c r="K31" s="94"/>
      <c r="L31" s="94"/>
      <c r="M31" s="94"/>
      <c r="N31" s="94"/>
      <c r="O31" s="94"/>
      <c r="P31" s="94"/>
    </row>
    <row r="32" spans="2:16">
      <c r="B32" s="84"/>
      <c r="C32" s="73"/>
      <c r="D32" s="73"/>
      <c r="E32" s="73"/>
      <c r="F32" s="81"/>
      <c r="G32" s="81"/>
      <c r="H32" s="81"/>
      <c r="I32" s="104"/>
      <c r="J32" s="94"/>
      <c r="K32" s="94"/>
      <c r="L32" s="94"/>
      <c r="M32" s="94"/>
      <c r="N32" s="94"/>
      <c r="O32" s="94"/>
      <c r="P32" s="94"/>
    </row>
    <row r="33" spans="2:9">
      <c r="B33" s="450" t="s">
        <v>234</v>
      </c>
      <c r="C33" s="451"/>
      <c r="D33" s="452"/>
      <c r="E33" s="85"/>
      <c r="F33" s="81"/>
      <c r="G33" s="81"/>
      <c r="H33" s="81"/>
      <c r="I33" s="104"/>
    </row>
    <row r="34" spans="2:9">
      <c r="B34" s="453"/>
      <c r="C34" s="454"/>
      <c r="D34" s="455"/>
      <c r="E34" s="85"/>
      <c r="F34" s="81"/>
      <c r="G34" s="81"/>
      <c r="H34" s="81"/>
      <c r="I34" s="104"/>
    </row>
    <row r="35" spans="2:9">
      <c r="B35" s="86"/>
      <c r="C35" s="87"/>
      <c r="D35" s="88"/>
      <c r="E35" s="88"/>
      <c r="F35" s="81"/>
      <c r="G35" s="81"/>
      <c r="H35" s="81"/>
      <c r="I35" s="104"/>
    </row>
    <row r="36" spans="2:9" ht="15.75">
      <c r="B36" s="456" t="s">
        <v>235</v>
      </c>
      <c r="C36" s="457"/>
      <c r="D36" s="89">
        <f>(((1+D16+D13+D14)*(1+D15)*(1+D21))/(1-D29))-1</f>
        <v>0.21495489508516363</v>
      </c>
      <c r="E36" s="90"/>
      <c r="F36" s="81"/>
      <c r="G36" s="81"/>
      <c r="H36" s="81"/>
      <c r="I36" s="104"/>
    </row>
    <row r="37" spans="2:9" ht="15.75">
      <c r="B37" s="458"/>
      <c r="C37" s="459"/>
      <c r="D37" s="91"/>
      <c r="E37" s="92"/>
      <c r="F37" s="93"/>
      <c r="G37" s="93"/>
      <c r="H37" s="93"/>
      <c r="I37" s="105"/>
    </row>
  </sheetData>
  <mergeCells count="52">
    <mergeCell ref="B2:I2"/>
    <mergeCell ref="B3:I3"/>
    <mergeCell ref="C4:I4"/>
    <mergeCell ref="C5:I5"/>
    <mergeCell ref="B6:I6"/>
    <mergeCell ref="M7:P7"/>
    <mergeCell ref="B8:D8"/>
    <mergeCell ref="G10:H10"/>
    <mergeCell ref="N10:O10"/>
    <mergeCell ref="B11:D11"/>
    <mergeCell ref="C12:D12"/>
    <mergeCell ref="G12:H12"/>
    <mergeCell ref="N12:O12"/>
    <mergeCell ref="G13:H13"/>
    <mergeCell ref="N13:O13"/>
    <mergeCell ref="G14:H14"/>
    <mergeCell ref="N14:O14"/>
    <mergeCell ref="G15:H15"/>
    <mergeCell ref="N15:O15"/>
    <mergeCell ref="G16:H16"/>
    <mergeCell ref="N16:O16"/>
    <mergeCell ref="B17:C17"/>
    <mergeCell ref="G17:H17"/>
    <mergeCell ref="N17:O17"/>
    <mergeCell ref="B18:D18"/>
    <mergeCell ref="C19:D19"/>
    <mergeCell ref="G19:H19"/>
    <mergeCell ref="N19:O19"/>
    <mergeCell ref="B29:C29"/>
    <mergeCell ref="F24:F25"/>
    <mergeCell ref="I24:I25"/>
    <mergeCell ref="G20:H20"/>
    <mergeCell ref="N20:O20"/>
    <mergeCell ref="B21:C21"/>
    <mergeCell ref="G21:H21"/>
    <mergeCell ref="N21:O21"/>
    <mergeCell ref="B33:D34"/>
    <mergeCell ref="B36:C37"/>
    <mergeCell ref="G24:H25"/>
    <mergeCell ref="F8:I9"/>
    <mergeCell ref="M8:P9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  <mergeCell ref="F23:I23"/>
    <mergeCell ref="G27:H27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45"/>
  <sheetViews>
    <sheetView zoomScale="130" zoomScaleNormal="130" workbookViewId="0">
      <selection activeCell="A5" sqref="A5:D5"/>
    </sheetView>
  </sheetViews>
  <sheetFormatPr defaultColWidth="9" defaultRowHeight="12.75"/>
  <cols>
    <col min="2" max="2" width="44.85546875" customWidth="1"/>
    <col min="3" max="3" width="14.85546875" customWidth="1"/>
    <col min="4" max="4" width="18.42578125" customWidth="1"/>
  </cols>
  <sheetData>
    <row r="1" spans="1:4">
      <c r="A1" s="547" t="s">
        <v>0</v>
      </c>
      <c r="B1" s="547"/>
      <c r="C1" s="547"/>
      <c r="D1" s="542"/>
    </row>
    <row r="2" spans="1:4">
      <c r="A2" s="547" t="s">
        <v>2</v>
      </c>
      <c r="B2" s="547"/>
      <c r="C2" s="547"/>
      <c r="D2" s="542"/>
    </row>
    <row r="3" spans="1:4">
      <c r="A3" s="548" t="s">
        <v>3</v>
      </c>
      <c r="B3" s="548"/>
      <c r="C3" s="548"/>
      <c r="D3" s="542"/>
    </row>
    <row r="5" spans="1:4" ht="55.5" customHeight="1">
      <c r="A5" s="549" t="s">
        <v>5</v>
      </c>
      <c r="B5" s="550"/>
      <c r="C5" s="550"/>
      <c r="D5" s="551"/>
    </row>
    <row r="7" spans="1:4">
      <c r="A7" s="552" t="s">
        <v>236</v>
      </c>
      <c r="B7" s="553"/>
      <c r="C7" s="553"/>
      <c r="D7" s="554"/>
    </row>
    <row r="9" spans="1:4" ht="15">
      <c r="A9" s="543" t="s">
        <v>237</v>
      </c>
      <c r="B9" s="544"/>
      <c r="C9" s="42" t="s">
        <v>238</v>
      </c>
      <c r="D9" s="42" t="s">
        <v>239</v>
      </c>
    </row>
    <row r="10" spans="1:4" ht="15">
      <c r="A10" s="545"/>
      <c r="B10" s="546"/>
      <c r="C10" s="43" t="s">
        <v>19</v>
      </c>
      <c r="D10" s="43" t="s">
        <v>19</v>
      </c>
    </row>
    <row r="11" spans="1:4">
      <c r="A11" s="44" t="s">
        <v>240</v>
      </c>
      <c r="B11" s="537" t="s">
        <v>241</v>
      </c>
      <c r="C11" s="538"/>
      <c r="D11" s="539"/>
    </row>
    <row r="12" spans="1:4">
      <c r="A12" s="45" t="s">
        <v>204</v>
      </c>
      <c r="B12" s="46" t="s">
        <v>242</v>
      </c>
      <c r="C12" s="47">
        <v>20</v>
      </c>
      <c r="D12" s="47">
        <v>20</v>
      </c>
    </row>
    <row r="13" spans="1:4">
      <c r="A13" s="45" t="s">
        <v>206</v>
      </c>
      <c r="B13" s="46" t="s">
        <v>243</v>
      </c>
      <c r="C13" s="47">
        <v>1.5</v>
      </c>
      <c r="D13" s="47">
        <v>1.5</v>
      </c>
    </row>
    <row r="14" spans="1:4">
      <c r="A14" s="45" t="s">
        <v>208</v>
      </c>
      <c r="B14" s="46" t="s">
        <v>244</v>
      </c>
      <c r="C14" s="47">
        <v>1</v>
      </c>
      <c r="D14" s="47">
        <v>1</v>
      </c>
    </row>
    <row r="15" spans="1:4">
      <c r="A15" s="45" t="s">
        <v>210</v>
      </c>
      <c r="B15" s="46" t="s">
        <v>245</v>
      </c>
      <c r="C15" s="47">
        <v>0.2</v>
      </c>
      <c r="D15" s="47">
        <v>0.2</v>
      </c>
    </row>
    <row r="16" spans="1:4">
      <c r="A16" s="45" t="s">
        <v>246</v>
      </c>
      <c r="B16" s="46" t="s">
        <v>247</v>
      </c>
      <c r="C16" s="47">
        <v>0.6</v>
      </c>
      <c r="D16" s="47">
        <v>0.6</v>
      </c>
    </row>
    <row r="17" spans="1:4">
      <c r="A17" s="45" t="s">
        <v>248</v>
      </c>
      <c r="B17" s="46" t="s">
        <v>249</v>
      </c>
      <c r="C17" s="47">
        <v>2.5</v>
      </c>
      <c r="D17" s="47">
        <v>2.5</v>
      </c>
    </row>
    <row r="18" spans="1:4">
      <c r="A18" s="45" t="s">
        <v>250</v>
      </c>
      <c r="B18" s="46" t="s">
        <v>251</v>
      </c>
      <c r="C18" s="47">
        <v>3</v>
      </c>
      <c r="D18" s="47">
        <v>3</v>
      </c>
    </row>
    <row r="19" spans="1:4">
      <c r="A19" s="45" t="s">
        <v>252</v>
      </c>
      <c r="B19" s="46" t="s">
        <v>253</v>
      </c>
      <c r="C19" s="47">
        <v>8</v>
      </c>
      <c r="D19" s="47">
        <v>8</v>
      </c>
    </row>
    <row r="20" spans="1:4">
      <c r="A20" s="45" t="s">
        <v>254</v>
      </c>
      <c r="B20" s="46" t="s">
        <v>255</v>
      </c>
      <c r="C20" s="47">
        <v>0</v>
      </c>
      <c r="D20" s="47">
        <v>0</v>
      </c>
    </row>
    <row r="21" spans="1:4">
      <c r="A21" s="535" t="s">
        <v>256</v>
      </c>
      <c r="B21" s="536"/>
      <c r="C21" s="48">
        <f>SUM(C12:C20)</f>
        <v>36.799999999999997</v>
      </c>
      <c r="D21" s="48">
        <f>SUM(D12:D20)</f>
        <v>36.799999999999997</v>
      </c>
    </row>
    <row r="22" spans="1:4">
      <c r="A22" s="44" t="s">
        <v>257</v>
      </c>
      <c r="B22" s="537" t="s">
        <v>258</v>
      </c>
      <c r="C22" s="538"/>
      <c r="D22" s="539"/>
    </row>
    <row r="23" spans="1:4">
      <c r="A23" s="45" t="s">
        <v>259</v>
      </c>
      <c r="B23" s="46" t="s">
        <v>260</v>
      </c>
      <c r="C23" s="47">
        <v>17.97</v>
      </c>
      <c r="D23" s="49" t="s">
        <v>261</v>
      </c>
    </row>
    <row r="24" spans="1:4">
      <c r="A24" s="45" t="s">
        <v>262</v>
      </c>
      <c r="B24" s="46" t="s">
        <v>263</v>
      </c>
      <c r="C24" s="47">
        <v>3.96</v>
      </c>
      <c r="D24" s="49" t="s">
        <v>261</v>
      </c>
    </row>
    <row r="25" spans="1:4">
      <c r="A25" s="45" t="s">
        <v>264</v>
      </c>
      <c r="B25" s="46" t="s">
        <v>265</v>
      </c>
      <c r="C25" s="47">
        <v>0.87</v>
      </c>
      <c r="D25" s="49">
        <v>0.66</v>
      </c>
    </row>
    <row r="26" spans="1:4">
      <c r="A26" s="45" t="s">
        <v>266</v>
      </c>
      <c r="B26" s="46" t="s">
        <v>267</v>
      </c>
      <c r="C26" s="47">
        <v>10.97</v>
      </c>
      <c r="D26" s="49">
        <v>8.33</v>
      </c>
    </row>
    <row r="27" spans="1:4">
      <c r="A27" s="45" t="s">
        <v>268</v>
      </c>
      <c r="B27" s="46" t="s">
        <v>269</v>
      </c>
      <c r="C27" s="47">
        <v>7.0000000000000007E-2</v>
      </c>
      <c r="D27" s="49">
        <v>0.05</v>
      </c>
    </row>
    <row r="28" spans="1:4">
      <c r="A28" s="45" t="s">
        <v>270</v>
      </c>
      <c r="B28" s="46" t="s">
        <v>271</v>
      </c>
      <c r="C28" s="47">
        <v>0.73</v>
      </c>
      <c r="D28" s="49">
        <v>0.56000000000000005</v>
      </c>
    </row>
    <row r="29" spans="1:4">
      <c r="A29" s="45" t="s">
        <v>272</v>
      </c>
      <c r="B29" s="46" t="s">
        <v>273</v>
      </c>
      <c r="C29" s="47">
        <v>2.04</v>
      </c>
      <c r="D29" s="49" t="s">
        <v>261</v>
      </c>
    </row>
    <row r="30" spans="1:4">
      <c r="A30" s="45" t="s">
        <v>274</v>
      </c>
      <c r="B30" s="46" t="s">
        <v>275</v>
      </c>
      <c r="C30" s="47">
        <v>0.11</v>
      </c>
      <c r="D30" s="49">
        <v>0.08</v>
      </c>
    </row>
    <row r="31" spans="1:4">
      <c r="A31" s="45" t="s">
        <v>276</v>
      </c>
      <c r="B31" s="46" t="s">
        <v>277</v>
      </c>
      <c r="C31" s="47">
        <v>10.43</v>
      </c>
      <c r="D31" s="49">
        <v>7.92</v>
      </c>
    </row>
    <row r="32" spans="1:4">
      <c r="A32" s="45" t="s">
        <v>278</v>
      </c>
      <c r="B32" s="46" t="s">
        <v>279</v>
      </c>
      <c r="C32" s="47">
        <v>0.04</v>
      </c>
      <c r="D32" s="49">
        <v>0.03</v>
      </c>
    </row>
    <row r="33" spans="1:4">
      <c r="A33" s="535" t="s">
        <v>280</v>
      </c>
      <c r="B33" s="536"/>
      <c r="C33" s="48">
        <f>SUM(C23:C32)</f>
        <v>47.19</v>
      </c>
      <c r="D33" s="50">
        <f>SUM(D25,D26,D27,D28,D30,D31,D32)</f>
        <v>17.630000000000003</v>
      </c>
    </row>
    <row r="34" spans="1:4">
      <c r="A34" s="44" t="s">
        <v>281</v>
      </c>
      <c r="B34" s="537" t="s">
        <v>282</v>
      </c>
      <c r="C34" s="538"/>
      <c r="D34" s="539"/>
    </row>
    <row r="35" spans="1:4">
      <c r="A35" s="45" t="s">
        <v>283</v>
      </c>
      <c r="B35" s="46" t="s">
        <v>284</v>
      </c>
      <c r="C35" s="47">
        <v>5.44</v>
      </c>
      <c r="D35" s="47">
        <v>4.13</v>
      </c>
    </row>
    <row r="36" spans="1:4">
      <c r="A36" s="45" t="s">
        <v>285</v>
      </c>
      <c r="B36" s="46" t="s">
        <v>286</v>
      </c>
      <c r="C36" s="47">
        <v>0.13</v>
      </c>
      <c r="D36" s="47">
        <v>0.1</v>
      </c>
    </row>
    <row r="37" spans="1:4">
      <c r="A37" s="45" t="s">
        <v>287</v>
      </c>
      <c r="B37" s="46" t="s">
        <v>288</v>
      </c>
      <c r="C37" s="47">
        <v>3.44</v>
      </c>
      <c r="D37" s="47">
        <v>2.61</v>
      </c>
    </row>
    <row r="38" spans="1:4">
      <c r="A38" s="45" t="s">
        <v>289</v>
      </c>
      <c r="B38" s="46" t="s">
        <v>290</v>
      </c>
      <c r="C38" s="47">
        <v>3.33</v>
      </c>
      <c r="D38" s="47">
        <v>2.5299999999999998</v>
      </c>
    </row>
    <row r="39" spans="1:4">
      <c r="A39" s="45" t="s">
        <v>291</v>
      </c>
      <c r="B39" s="46" t="s">
        <v>292</v>
      </c>
      <c r="C39" s="47">
        <v>0.46</v>
      </c>
      <c r="D39" s="47">
        <v>0.35</v>
      </c>
    </row>
    <row r="40" spans="1:4">
      <c r="A40" s="535" t="s">
        <v>293</v>
      </c>
      <c r="B40" s="536"/>
      <c r="C40" s="48">
        <f>SUM(C35:C39)</f>
        <v>12.8</v>
      </c>
      <c r="D40" s="48">
        <f>SUM(D35:D39)</f>
        <v>9.7199999999999989</v>
      </c>
    </row>
    <row r="41" spans="1:4" ht="13.5" customHeight="1">
      <c r="A41" s="44" t="s">
        <v>294</v>
      </c>
      <c r="B41" s="537" t="s">
        <v>295</v>
      </c>
      <c r="C41" s="538"/>
      <c r="D41" s="539"/>
    </row>
    <row r="42" spans="1:4">
      <c r="A42" s="45" t="s">
        <v>296</v>
      </c>
      <c r="B42" s="46" t="s">
        <v>297</v>
      </c>
      <c r="C42" s="47">
        <v>17.37</v>
      </c>
      <c r="D42" s="47">
        <v>6.49</v>
      </c>
    </row>
    <row r="43" spans="1:4" ht="38.25">
      <c r="A43" s="45" t="s">
        <v>298</v>
      </c>
      <c r="B43" s="46" t="s">
        <v>299</v>
      </c>
      <c r="C43" s="47">
        <v>0.48</v>
      </c>
      <c r="D43" s="47">
        <v>0.37</v>
      </c>
    </row>
    <row r="44" spans="1:4">
      <c r="A44" s="535" t="s">
        <v>300</v>
      </c>
      <c r="B44" s="536"/>
      <c r="C44" s="48">
        <f>SUM(C42:C43)</f>
        <v>17.850000000000001</v>
      </c>
      <c r="D44" s="48">
        <f>SUM(D42:D43)</f>
        <v>6.86</v>
      </c>
    </row>
    <row r="45" spans="1:4" ht="38.25" customHeight="1">
      <c r="A45" s="540" t="s">
        <v>301</v>
      </c>
      <c r="B45" s="541"/>
      <c r="C45" s="51">
        <f>SUM(C21,C33,C40,C44)</f>
        <v>114.63999999999999</v>
      </c>
      <c r="D45" s="51">
        <f>SUM(D21,D33,D40,D44)</f>
        <v>71.010000000000005</v>
      </c>
    </row>
  </sheetData>
  <mergeCells count="16">
    <mergeCell ref="A40:B40"/>
    <mergeCell ref="B41:D41"/>
    <mergeCell ref="A44:B44"/>
    <mergeCell ref="A45:B45"/>
    <mergeCell ref="D1:D3"/>
    <mergeCell ref="A9:B10"/>
    <mergeCell ref="B11:D11"/>
    <mergeCell ref="A21:B21"/>
    <mergeCell ref="B22:D22"/>
    <mergeCell ref="A33:B33"/>
    <mergeCell ref="B34:D34"/>
    <mergeCell ref="A1:C1"/>
    <mergeCell ref="A2:C2"/>
    <mergeCell ref="A3:C3"/>
    <mergeCell ref="A5:D5"/>
    <mergeCell ref="A7:D7"/>
  </mergeCells>
  <pageMargins left="0.98425196850393704" right="0.59055118110236204" top="0.98425196850393704" bottom="0.78740157480314998" header="0.31496062992126" footer="0.31496062992126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S32"/>
  <sheetViews>
    <sheetView zoomScale="70" zoomScaleNormal="70" workbookViewId="0">
      <selection activeCell="B1" sqref="B1:P1"/>
    </sheetView>
  </sheetViews>
  <sheetFormatPr defaultColWidth="9.140625" defaultRowHeight="12.75"/>
  <cols>
    <col min="1" max="1" width="3" style="3" customWidth="1"/>
    <col min="2" max="2" width="6.5703125" style="3" customWidth="1"/>
    <col min="3" max="3" width="11.5703125" style="3" customWidth="1"/>
    <col min="4" max="4" width="63.5703125" style="3" customWidth="1"/>
    <col min="5" max="5" width="22" style="4" customWidth="1"/>
    <col min="6" max="6" width="13.7109375" style="5" customWidth="1"/>
    <col min="7" max="7" width="15.7109375" style="5" customWidth="1"/>
    <col min="8" max="8" width="13" style="5" customWidth="1"/>
    <col min="9" max="15" width="12.28515625" style="5" customWidth="1"/>
    <col min="16" max="16" width="12.7109375" style="5" customWidth="1"/>
    <col min="17" max="17" width="16.85546875" style="5" customWidth="1"/>
    <col min="18" max="18" width="23.42578125" style="5" customWidth="1"/>
    <col min="19" max="16384" width="9.140625" style="3"/>
  </cols>
  <sheetData>
    <row r="1" spans="2:19" ht="46.5" customHeight="1">
      <c r="B1" s="577" t="s">
        <v>5</v>
      </c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9"/>
      <c r="Q1" s="580"/>
      <c r="R1" s="581"/>
    </row>
    <row r="2" spans="2:19" ht="15.75"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  <c r="N2" s="582"/>
      <c r="O2" s="582"/>
      <c r="P2" s="582"/>
      <c r="Q2" s="582"/>
      <c r="R2" s="582"/>
    </row>
    <row r="3" spans="2:19" ht="15.75" customHeight="1">
      <c r="B3" s="583" t="s">
        <v>302</v>
      </c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5"/>
    </row>
    <row r="4" spans="2:19" ht="15.75">
      <c r="B4" s="6"/>
      <c r="C4" s="6"/>
      <c r="D4" s="6"/>
      <c r="E4" s="6"/>
    </row>
    <row r="5" spans="2:19" ht="20.100000000000001" customHeight="1">
      <c r="B5" s="7">
        <v>1</v>
      </c>
      <c r="C5" s="564" t="s">
        <v>20</v>
      </c>
      <c r="D5" s="564"/>
      <c r="E5" s="8" t="s">
        <v>303</v>
      </c>
      <c r="F5" s="9" t="s">
        <v>304</v>
      </c>
      <c r="G5" s="10" t="s">
        <v>305</v>
      </c>
      <c r="H5" s="9" t="s">
        <v>306</v>
      </c>
      <c r="I5" s="9" t="s">
        <v>307</v>
      </c>
      <c r="J5" s="9" t="s">
        <v>308</v>
      </c>
      <c r="K5" s="9" t="s">
        <v>309</v>
      </c>
      <c r="L5" s="9" t="s">
        <v>310</v>
      </c>
      <c r="M5" s="9" t="s">
        <v>311</v>
      </c>
      <c r="N5" s="9" t="s">
        <v>312</v>
      </c>
      <c r="O5" s="9" t="s">
        <v>313</v>
      </c>
      <c r="P5" s="9" t="s">
        <v>314</v>
      </c>
      <c r="Q5" s="9" t="s">
        <v>315</v>
      </c>
      <c r="R5" s="30" t="s">
        <v>316</v>
      </c>
    </row>
    <row r="6" spans="2:19" s="1" customFormat="1" ht="29.25" customHeight="1">
      <c r="B6" s="573" t="s">
        <v>21</v>
      </c>
      <c r="C6" s="569" t="str">
        <f>'COMPOSIÇÕES - SICRO'!A152</f>
        <v>SICRO 5914639</v>
      </c>
      <c r="D6" s="557" t="s">
        <v>22</v>
      </c>
      <c r="E6" s="11">
        <f>'PLANILHA GLOBAL'!L16</f>
        <v>335356.88</v>
      </c>
      <c r="F6" s="12">
        <f>ROUND($E$6*F7,2)</f>
        <v>83839.22</v>
      </c>
      <c r="G6" s="12">
        <f t="shared" ref="G6:Q6" si="0">ROUND($E$6*G7,2)</f>
        <v>0</v>
      </c>
      <c r="H6" s="12">
        <f t="shared" si="0"/>
        <v>0</v>
      </c>
      <c r="I6" s="12">
        <f t="shared" si="0"/>
        <v>83839.22</v>
      </c>
      <c r="J6" s="12">
        <f t="shared" si="0"/>
        <v>0</v>
      </c>
      <c r="K6" s="12">
        <f t="shared" si="0"/>
        <v>0</v>
      </c>
      <c r="L6" s="12">
        <f t="shared" si="0"/>
        <v>83839.22</v>
      </c>
      <c r="M6" s="12">
        <f t="shared" si="0"/>
        <v>0</v>
      </c>
      <c r="N6" s="12">
        <f t="shared" si="0"/>
        <v>0</v>
      </c>
      <c r="O6" s="12">
        <f t="shared" si="0"/>
        <v>83839.22</v>
      </c>
      <c r="P6" s="12">
        <f t="shared" si="0"/>
        <v>0</v>
      </c>
      <c r="Q6" s="12">
        <f t="shared" si="0"/>
        <v>0</v>
      </c>
      <c r="R6" s="31">
        <f t="shared" ref="R6:R17" si="1">SUM(F6:Q6)</f>
        <v>335356.88</v>
      </c>
      <c r="S6" s="32">
        <f>E6-R6</f>
        <v>0</v>
      </c>
    </row>
    <row r="7" spans="2:19" s="1" customFormat="1" ht="29.25" customHeight="1">
      <c r="B7" s="574"/>
      <c r="C7" s="570"/>
      <c r="D7" s="558"/>
      <c r="E7" s="13" t="s">
        <v>19</v>
      </c>
      <c r="F7" s="14">
        <v>0.25</v>
      </c>
      <c r="G7" s="14">
        <v>0</v>
      </c>
      <c r="H7" s="14">
        <v>0</v>
      </c>
      <c r="I7" s="14">
        <v>0.25</v>
      </c>
      <c r="J7" s="14">
        <v>0</v>
      </c>
      <c r="K7" s="14">
        <v>0</v>
      </c>
      <c r="L7" s="14">
        <v>0.25</v>
      </c>
      <c r="M7" s="14">
        <v>0</v>
      </c>
      <c r="N7" s="14">
        <v>0</v>
      </c>
      <c r="O7" s="14">
        <v>0.25</v>
      </c>
      <c r="P7" s="14">
        <v>0</v>
      </c>
      <c r="Q7" s="14">
        <v>0</v>
      </c>
      <c r="R7" s="33">
        <f t="shared" si="1"/>
        <v>1</v>
      </c>
    </row>
    <row r="8" spans="2:19" s="1" customFormat="1" ht="29.25" customHeight="1">
      <c r="B8" s="565" t="s">
        <v>23</v>
      </c>
      <c r="C8" s="567" t="str">
        <f>'COMPOSIÇÕES - SICRO'!A179</f>
        <v>SICRO 5914640</v>
      </c>
      <c r="D8" s="555" t="s">
        <v>24</v>
      </c>
      <c r="E8" s="15">
        <f>'PLANILHA GLOBAL'!L17</f>
        <v>116670.38</v>
      </c>
      <c r="F8" s="16">
        <f>$E$8*F9</f>
        <v>29167.595000000001</v>
      </c>
      <c r="G8" s="16">
        <f t="shared" ref="G8:Q8" si="2">$E$8*G9</f>
        <v>0</v>
      </c>
      <c r="H8" s="16">
        <f t="shared" si="2"/>
        <v>0</v>
      </c>
      <c r="I8" s="16">
        <f t="shared" si="2"/>
        <v>29167.595000000001</v>
      </c>
      <c r="J8" s="16">
        <f t="shared" si="2"/>
        <v>0</v>
      </c>
      <c r="K8" s="16">
        <f t="shared" si="2"/>
        <v>0</v>
      </c>
      <c r="L8" s="16">
        <f t="shared" si="2"/>
        <v>29167.595000000001</v>
      </c>
      <c r="M8" s="16">
        <f t="shared" si="2"/>
        <v>0</v>
      </c>
      <c r="N8" s="16">
        <f t="shared" si="2"/>
        <v>0</v>
      </c>
      <c r="O8" s="16">
        <f t="shared" si="2"/>
        <v>29167.595000000001</v>
      </c>
      <c r="P8" s="16">
        <f t="shared" si="2"/>
        <v>0</v>
      </c>
      <c r="Q8" s="16">
        <f t="shared" si="2"/>
        <v>0</v>
      </c>
      <c r="R8" s="34">
        <f t="shared" si="1"/>
        <v>116670.38</v>
      </c>
      <c r="S8" s="32">
        <f>E8-R8</f>
        <v>0</v>
      </c>
    </row>
    <row r="9" spans="2:19" s="1" customFormat="1" ht="29.25" customHeight="1">
      <c r="B9" s="575"/>
      <c r="C9" s="571"/>
      <c r="D9" s="556"/>
      <c r="E9" s="17" t="s">
        <v>19</v>
      </c>
      <c r="F9" s="18">
        <v>0.25</v>
      </c>
      <c r="G9" s="18">
        <v>0</v>
      </c>
      <c r="H9" s="18">
        <v>0</v>
      </c>
      <c r="I9" s="18">
        <v>0.25</v>
      </c>
      <c r="J9" s="18">
        <v>0</v>
      </c>
      <c r="K9" s="18">
        <v>0</v>
      </c>
      <c r="L9" s="18">
        <v>0.25</v>
      </c>
      <c r="M9" s="18">
        <v>0</v>
      </c>
      <c r="N9" s="18">
        <v>0</v>
      </c>
      <c r="O9" s="18">
        <v>0.25</v>
      </c>
      <c r="P9" s="18">
        <v>0</v>
      </c>
      <c r="Q9" s="18">
        <v>0</v>
      </c>
      <c r="R9" s="35">
        <f t="shared" si="1"/>
        <v>1</v>
      </c>
    </row>
    <row r="10" spans="2:19" s="1" customFormat="1" ht="30.75" customHeight="1">
      <c r="B10" s="573" t="s">
        <v>25</v>
      </c>
      <c r="C10" s="569" t="str">
        <f>'COMPOSIÇÕES SINAPI'!A15</f>
        <v>CPU-01</v>
      </c>
      <c r="D10" s="557" t="str">
        <f>'COMPOSIÇÕES SINAPI'!D15</f>
        <v>ADMINISTRAÇÃO LOCAL</v>
      </c>
      <c r="E10" s="11">
        <f>'PLANILHA GLOBAL'!L18</f>
        <v>1169.4100000000001</v>
      </c>
      <c r="F10" s="12">
        <f>$E$10*F11</f>
        <v>45.650106146700004</v>
      </c>
      <c r="G10" s="12">
        <f t="shared" ref="G10:Q10" si="3">$E$10*G11</f>
        <v>61.024596686900004</v>
      </c>
      <c r="H10" s="12">
        <f t="shared" si="3"/>
        <v>89.116116930499999</v>
      </c>
      <c r="I10" s="12">
        <f t="shared" si="3"/>
        <v>123.2810615619</v>
      </c>
      <c r="J10" s="12">
        <f t="shared" si="3"/>
        <v>89.116116930499999</v>
      </c>
      <c r="K10" s="12">
        <f t="shared" si="3"/>
        <v>100.6012901399</v>
      </c>
      <c r="L10" s="12">
        <f t="shared" si="3"/>
        <v>123.2810615619</v>
      </c>
      <c r="M10" s="12">
        <f t="shared" si="3"/>
        <v>89.116116930499999</v>
      </c>
      <c r="N10" s="12">
        <f t="shared" si="3"/>
        <v>89.116116930499999</v>
      </c>
      <c r="O10" s="12">
        <f t="shared" si="3"/>
        <v>123.2810615619</v>
      </c>
      <c r="P10" s="12">
        <f t="shared" si="3"/>
        <v>89.116116930499999</v>
      </c>
      <c r="Q10" s="12">
        <f t="shared" si="3"/>
        <v>146.71023768830003</v>
      </c>
      <c r="R10" s="31">
        <f t="shared" si="1"/>
        <v>1169.4100000000001</v>
      </c>
      <c r="S10" s="32">
        <f>E10-R10</f>
        <v>0</v>
      </c>
    </row>
    <row r="11" spans="2:19" s="1" customFormat="1" ht="30.75" customHeight="1">
      <c r="B11" s="574"/>
      <c r="C11" s="570"/>
      <c r="D11" s="558"/>
      <c r="E11" s="13" t="s">
        <v>19</v>
      </c>
      <c r="F11" s="14">
        <f>ROUND((F6+F8+F12+F14+F16+F20+F22+F24+F26+F28)/$E$32,8)</f>
        <v>3.9036870000000001E-2</v>
      </c>
      <c r="G11" s="14">
        <f t="shared" ref="G11:Q11" si="4">ROUND((G6+G8+G12+G14+G16+G20+G22+G24+G26+G28)/$E$32,8)</f>
        <v>5.2184090000000002E-2</v>
      </c>
      <c r="H11" s="14">
        <f t="shared" si="4"/>
        <v>7.6206049999999997E-2</v>
      </c>
      <c r="I11" s="14">
        <f t="shared" si="4"/>
        <v>0.10542159</v>
      </c>
      <c r="J11" s="14">
        <f t="shared" si="4"/>
        <v>7.6206049999999997E-2</v>
      </c>
      <c r="K11" s="14">
        <f t="shared" si="4"/>
        <v>8.6027389999999995E-2</v>
      </c>
      <c r="L11" s="14">
        <f t="shared" si="4"/>
        <v>0.10542159</v>
      </c>
      <c r="M11" s="14">
        <f t="shared" si="4"/>
        <v>7.6206049999999997E-2</v>
      </c>
      <c r="N11" s="14">
        <f t="shared" si="4"/>
        <v>7.6206049999999997E-2</v>
      </c>
      <c r="O11" s="14">
        <f t="shared" si="4"/>
        <v>0.10542159</v>
      </c>
      <c r="P11" s="14">
        <f t="shared" si="4"/>
        <v>7.6206049999999997E-2</v>
      </c>
      <c r="Q11" s="14">
        <f t="shared" si="4"/>
        <v>0.12545663000000001</v>
      </c>
      <c r="R11" s="33">
        <f t="shared" si="1"/>
        <v>1</v>
      </c>
    </row>
    <row r="12" spans="2:19" s="1" customFormat="1" ht="32.25" customHeight="1">
      <c r="B12" s="565" t="s">
        <v>26</v>
      </c>
      <c r="C12" s="567" t="str">
        <f>'COMPOSIÇÕES SINAPI'!A20</f>
        <v>CPU-02</v>
      </c>
      <c r="D12" s="555" t="str">
        <f>'COMPOSIÇÕES SINAPI'!D20</f>
        <v>PLACA DE OBRA EM CHAPA DE AÇO GALVANIZADO</v>
      </c>
      <c r="E12" s="15">
        <f>'PLANILHA GLOBAL'!L19</f>
        <v>87534.399999999994</v>
      </c>
      <c r="F12" s="16">
        <f>ROUND($E$12*F13,2)</f>
        <v>43767.199999999997</v>
      </c>
      <c r="G12" s="16">
        <f t="shared" ref="G12:Q12" si="5">ROUND($E$12*G13,2)</f>
        <v>0</v>
      </c>
      <c r="H12" s="16">
        <f t="shared" si="5"/>
        <v>0</v>
      </c>
      <c r="I12" s="16">
        <f t="shared" si="5"/>
        <v>0</v>
      </c>
      <c r="J12" s="16">
        <f t="shared" si="5"/>
        <v>0</v>
      </c>
      <c r="K12" s="16">
        <f t="shared" si="5"/>
        <v>43767.199999999997</v>
      </c>
      <c r="L12" s="16">
        <f t="shared" si="5"/>
        <v>0</v>
      </c>
      <c r="M12" s="16">
        <f t="shared" si="5"/>
        <v>0</v>
      </c>
      <c r="N12" s="16">
        <f t="shared" si="5"/>
        <v>0</v>
      </c>
      <c r="O12" s="16">
        <f t="shared" si="5"/>
        <v>0</v>
      </c>
      <c r="P12" s="16">
        <f t="shared" si="5"/>
        <v>0</v>
      </c>
      <c r="Q12" s="16">
        <f t="shared" si="5"/>
        <v>0</v>
      </c>
      <c r="R12" s="34">
        <f t="shared" si="1"/>
        <v>87534.399999999994</v>
      </c>
      <c r="S12" s="32">
        <f>E12-R12</f>
        <v>0</v>
      </c>
    </row>
    <row r="13" spans="2:19" s="1" customFormat="1" ht="32.25" customHeight="1">
      <c r="B13" s="575"/>
      <c r="C13" s="571"/>
      <c r="D13" s="556"/>
      <c r="E13" s="17" t="s">
        <v>19</v>
      </c>
      <c r="F13" s="18">
        <v>0.5</v>
      </c>
      <c r="G13" s="18">
        <v>0</v>
      </c>
      <c r="H13" s="18">
        <v>0</v>
      </c>
      <c r="I13" s="18">
        <v>0</v>
      </c>
      <c r="J13" s="18">
        <v>0</v>
      </c>
      <c r="K13" s="18">
        <v>0.5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35">
        <f t="shared" si="1"/>
        <v>1</v>
      </c>
    </row>
    <row r="14" spans="2:19" s="1" customFormat="1" ht="28.5" customHeight="1">
      <c r="B14" s="573" t="s">
        <v>27</v>
      </c>
      <c r="C14" s="569" t="str">
        <f>'COMPOSIÇÕES - SICRO'!A152</f>
        <v>SICRO 5914639</v>
      </c>
      <c r="D14" s="557" t="s">
        <v>28</v>
      </c>
      <c r="E14" s="11">
        <f>'PLANILHA GLOBAL'!L20</f>
        <v>335356.88</v>
      </c>
      <c r="F14" s="12">
        <f>ROUND($E$14*F15,2)</f>
        <v>0</v>
      </c>
      <c r="G14" s="12">
        <f t="shared" ref="G14:Q14" si="6">ROUND($E$14*G15,2)</f>
        <v>0</v>
      </c>
      <c r="H14" s="12">
        <f t="shared" si="6"/>
        <v>0</v>
      </c>
      <c r="I14" s="12">
        <f t="shared" si="6"/>
        <v>0</v>
      </c>
      <c r="J14" s="12">
        <f t="shared" si="6"/>
        <v>0</v>
      </c>
      <c r="K14" s="12">
        <f t="shared" si="6"/>
        <v>0</v>
      </c>
      <c r="L14" s="12">
        <f t="shared" si="6"/>
        <v>0</v>
      </c>
      <c r="M14" s="12">
        <f t="shared" si="6"/>
        <v>0</v>
      </c>
      <c r="N14" s="12">
        <f t="shared" si="6"/>
        <v>0</v>
      </c>
      <c r="O14" s="12">
        <f t="shared" si="6"/>
        <v>0</v>
      </c>
      <c r="P14" s="12">
        <f t="shared" si="6"/>
        <v>0</v>
      </c>
      <c r="Q14" s="12">
        <f t="shared" si="6"/>
        <v>335356.88</v>
      </c>
      <c r="R14" s="31">
        <f t="shared" si="1"/>
        <v>335356.88</v>
      </c>
      <c r="S14" s="32">
        <f>E14-R14</f>
        <v>0</v>
      </c>
    </row>
    <row r="15" spans="2:19" s="1" customFormat="1" ht="28.5" customHeight="1">
      <c r="B15" s="574"/>
      <c r="C15" s="570"/>
      <c r="D15" s="558"/>
      <c r="E15" s="13" t="s">
        <v>19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1</v>
      </c>
      <c r="R15" s="33">
        <f t="shared" si="1"/>
        <v>1</v>
      </c>
    </row>
    <row r="16" spans="2:19" s="1" customFormat="1" ht="28.5" customHeight="1">
      <c r="B16" s="565" t="s">
        <v>29</v>
      </c>
      <c r="C16" s="567" t="str">
        <f>'COMPOSIÇÕES - SICRO'!A179</f>
        <v>SICRO 5914640</v>
      </c>
      <c r="D16" s="555" t="s">
        <v>30</v>
      </c>
      <c r="E16" s="15">
        <f>'PLANILHA GLOBAL'!L21</f>
        <v>116670.38</v>
      </c>
      <c r="F16" s="16">
        <f>ROUND($E$16*F17,2)</f>
        <v>0</v>
      </c>
      <c r="G16" s="16">
        <f t="shared" ref="G16:Q16" si="7">ROUND($E$16*G17,2)</f>
        <v>0</v>
      </c>
      <c r="H16" s="16">
        <f t="shared" si="7"/>
        <v>0</v>
      </c>
      <c r="I16" s="16">
        <f t="shared" si="7"/>
        <v>0</v>
      </c>
      <c r="J16" s="16">
        <f t="shared" si="7"/>
        <v>0</v>
      </c>
      <c r="K16" s="16">
        <f t="shared" si="7"/>
        <v>0</v>
      </c>
      <c r="L16" s="16">
        <f t="shared" si="7"/>
        <v>0</v>
      </c>
      <c r="M16" s="16">
        <f t="shared" si="7"/>
        <v>0</v>
      </c>
      <c r="N16" s="16">
        <f t="shared" si="7"/>
        <v>0</v>
      </c>
      <c r="O16" s="16">
        <f t="shared" si="7"/>
        <v>0</v>
      </c>
      <c r="P16" s="16">
        <f t="shared" si="7"/>
        <v>0</v>
      </c>
      <c r="Q16" s="16">
        <f t="shared" si="7"/>
        <v>116670.38</v>
      </c>
      <c r="R16" s="34">
        <f t="shared" si="1"/>
        <v>116670.38</v>
      </c>
      <c r="S16" s="32">
        <f>E16-R16</f>
        <v>0</v>
      </c>
    </row>
    <row r="17" spans="2:19" s="1" customFormat="1" ht="28.5" customHeight="1">
      <c r="B17" s="566"/>
      <c r="C17" s="568"/>
      <c r="D17" s="560"/>
      <c r="E17" s="19" t="s">
        <v>19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1</v>
      </c>
      <c r="R17" s="36">
        <f t="shared" si="1"/>
        <v>1</v>
      </c>
    </row>
    <row r="18" spans="2:19" s="1" customFormat="1" ht="20.100000000000001" customHeight="1">
      <c r="B18" s="561"/>
      <c r="C18" s="562"/>
      <c r="D18" s="563"/>
      <c r="E18" s="21"/>
      <c r="F18" s="22"/>
      <c r="G18" s="21"/>
      <c r="H18" s="21"/>
      <c r="I18" s="21"/>
      <c r="J18" s="21"/>
      <c r="K18" s="21"/>
      <c r="L18" s="21"/>
      <c r="M18" s="21"/>
      <c r="N18" s="21"/>
      <c r="O18" s="21"/>
      <c r="P18" s="22"/>
      <c r="Q18" s="37" t="s">
        <v>317</v>
      </c>
      <c r="R18" s="38">
        <f>SUM(R6,R8,R10,R12,R14,R16)</f>
        <v>992758.33</v>
      </c>
    </row>
    <row r="19" spans="2:19" s="2" customFormat="1" ht="57" customHeight="1">
      <c r="B19" s="7">
        <v>2</v>
      </c>
      <c r="C19" s="564" t="s">
        <v>32</v>
      </c>
      <c r="D19" s="564"/>
      <c r="E19" s="8" t="s">
        <v>303</v>
      </c>
      <c r="F19" s="9" t="s">
        <v>304</v>
      </c>
      <c r="G19" s="10" t="s">
        <v>305</v>
      </c>
      <c r="H19" s="9" t="s">
        <v>306</v>
      </c>
      <c r="I19" s="9" t="s">
        <v>307</v>
      </c>
      <c r="J19" s="9" t="s">
        <v>308</v>
      </c>
      <c r="K19" s="9" t="s">
        <v>309</v>
      </c>
      <c r="L19" s="9" t="s">
        <v>310</v>
      </c>
      <c r="M19" s="9" t="s">
        <v>311</v>
      </c>
      <c r="N19" s="9" t="s">
        <v>312</v>
      </c>
      <c r="O19" s="9" t="s">
        <v>313</v>
      </c>
      <c r="P19" s="9" t="s">
        <v>314</v>
      </c>
      <c r="Q19" s="9" t="s">
        <v>315</v>
      </c>
      <c r="R19" s="30" t="s">
        <v>316</v>
      </c>
    </row>
    <row r="20" spans="2:19" s="1" customFormat="1" ht="45.75" customHeight="1">
      <c r="B20" s="573" t="s">
        <v>33</v>
      </c>
      <c r="C20" s="569" t="str">
        <f>'COMPOSIÇÕES - SICRO'!A96</f>
        <v>CODEVASF (adaptado de SICRO 5502985)</v>
      </c>
      <c r="D20" s="557" t="s">
        <v>34</v>
      </c>
      <c r="E20" s="11">
        <f>'PLANILHA GLOBAL'!L24</f>
        <v>68750</v>
      </c>
      <c r="F20" s="12">
        <f>ROUND($E$20*F21,2)</f>
        <v>17187.5</v>
      </c>
      <c r="G20" s="12">
        <f t="shared" ref="G20:Q20" si="8">ROUND($E$20*G21,2)</f>
        <v>0</v>
      </c>
      <c r="H20" s="12">
        <f t="shared" si="8"/>
        <v>0</v>
      </c>
      <c r="I20" s="12">
        <f t="shared" si="8"/>
        <v>17187.5</v>
      </c>
      <c r="J20" s="12">
        <f t="shared" si="8"/>
        <v>0</v>
      </c>
      <c r="K20" s="12">
        <f t="shared" si="8"/>
        <v>0</v>
      </c>
      <c r="L20" s="12">
        <f t="shared" si="8"/>
        <v>17187.5</v>
      </c>
      <c r="M20" s="12">
        <f t="shared" si="8"/>
        <v>0</v>
      </c>
      <c r="N20" s="12">
        <f t="shared" si="8"/>
        <v>0</v>
      </c>
      <c r="O20" s="12">
        <f t="shared" si="8"/>
        <v>17187.5</v>
      </c>
      <c r="P20" s="12">
        <f t="shared" si="8"/>
        <v>0</v>
      </c>
      <c r="Q20" s="12">
        <f t="shared" si="8"/>
        <v>0</v>
      </c>
      <c r="R20" s="31">
        <f t="shared" ref="R20:R27" si="9">SUM(F20:Q20)</f>
        <v>68750</v>
      </c>
      <c r="S20" s="32">
        <f>E20-R20</f>
        <v>0</v>
      </c>
    </row>
    <row r="21" spans="2:19" s="1" customFormat="1" ht="45.75" customHeight="1">
      <c r="B21" s="574"/>
      <c r="C21" s="570"/>
      <c r="D21" s="558"/>
      <c r="E21" s="13" t="s">
        <v>19</v>
      </c>
      <c r="F21" s="14">
        <v>0.25</v>
      </c>
      <c r="G21" s="14">
        <v>0</v>
      </c>
      <c r="H21" s="14">
        <v>0</v>
      </c>
      <c r="I21" s="14">
        <v>0.25</v>
      </c>
      <c r="J21" s="14">
        <v>0</v>
      </c>
      <c r="K21" s="14">
        <v>0</v>
      </c>
      <c r="L21" s="14">
        <v>0.25</v>
      </c>
      <c r="M21" s="14">
        <v>0</v>
      </c>
      <c r="N21" s="14">
        <v>0</v>
      </c>
      <c r="O21" s="14">
        <v>0.25</v>
      </c>
      <c r="P21" s="14">
        <v>0</v>
      </c>
      <c r="Q21" s="14">
        <v>0</v>
      </c>
      <c r="R21" s="33">
        <f t="shared" si="9"/>
        <v>1</v>
      </c>
    </row>
    <row r="22" spans="2:19" s="1" customFormat="1" ht="45.75" customHeight="1">
      <c r="B22" s="565" t="s">
        <v>35</v>
      </c>
      <c r="C22" s="567" t="str">
        <f>'COMPOSIÇÕES - SICRO'!A67</f>
        <v>SICRO 5502114</v>
      </c>
      <c r="D22" s="555" t="s">
        <v>36</v>
      </c>
      <c r="E22" s="15">
        <f>'PLANILHA GLOBAL'!L25</f>
        <v>1471500</v>
      </c>
      <c r="F22" s="16">
        <f>ROUND($E$22*F23,2)</f>
        <v>0</v>
      </c>
      <c r="G22" s="16">
        <f t="shared" ref="G22:Q22" si="10">ROUND($E$22*G23,2)</f>
        <v>147150</v>
      </c>
      <c r="H22" s="16">
        <f t="shared" si="10"/>
        <v>147150</v>
      </c>
      <c r="I22" s="16">
        <f t="shared" si="10"/>
        <v>147150</v>
      </c>
      <c r="J22" s="16">
        <f t="shared" si="10"/>
        <v>147150</v>
      </c>
      <c r="K22" s="16">
        <f t="shared" si="10"/>
        <v>147150</v>
      </c>
      <c r="L22" s="16">
        <f t="shared" si="10"/>
        <v>147150</v>
      </c>
      <c r="M22" s="16">
        <f t="shared" si="10"/>
        <v>147150</v>
      </c>
      <c r="N22" s="16">
        <f t="shared" si="10"/>
        <v>147150</v>
      </c>
      <c r="O22" s="16">
        <f t="shared" si="10"/>
        <v>147150</v>
      </c>
      <c r="P22" s="16">
        <f t="shared" si="10"/>
        <v>147150</v>
      </c>
      <c r="Q22" s="16">
        <f t="shared" si="10"/>
        <v>0</v>
      </c>
      <c r="R22" s="34">
        <f t="shared" si="9"/>
        <v>1471500</v>
      </c>
      <c r="S22" s="32">
        <f>E22-R22</f>
        <v>0</v>
      </c>
    </row>
    <row r="23" spans="2:19" s="1" customFormat="1" ht="45.75" customHeight="1">
      <c r="B23" s="575"/>
      <c r="C23" s="571"/>
      <c r="D23" s="556"/>
      <c r="E23" s="17" t="s">
        <v>19</v>
      </c>
      <c r="F23" s="18">
        <v>0</v>
      </c>
      <c r="G23" s="18">
        <v>0.1</v>
      </c>
      <c r="H23" s="18">
        <v>0.1</v>
      </c>
      <c r="I23" s="18">
        <v>0.1</v>
      </c>
      <c r="J23" s="18">
        <v>0.1</v>
      </c>
      <c r="K23" s="18">
        <v>0.1</v>
      </c>
      <c r="L23" s="18">
        <v>0.1</v>
      </c>
      <c r="M23" s="18">
        <v>0.1</v>
      </c>
      <c r="N23" s="18">
        <v>0.1</v>
      </c>
      <c r="O23" s="18">
        <v>0.1</v>
      </c>
      <c r="P23" s="18">
        <v>0.1</v>
      </c>
      <c r="Q23" s="18">
        <v>0</v>
      </c>
      <c r="R23" s="35">
        <f t="shared" si="9"/>
        <v>0.99999999999999989</v>
      </c>
    </row>
    <row r="24" spans="2:19" s="1" customFormat="1" ht="45.75" customHeight="1">
      <c r="B24" s="573" t="s">
        <v>37</v>
      </c>
      <c r="C24" s="569" t="str">
        <f>'COMPOSIÇÕES - SICRO'!A124</f>
        <v>CODEVASF (adaptado de SICRO 4413942)</v>
      </c>
      <c r="D24" s="557" t="s">
        <v>38</v>
      </c>
      <c r="E24" s="11">
        <f>'PLANILHA GLOBAL'!L26</f>
        <v>289500</v>
      </c>
      <c r="F24" s="12">
        <f>ROUND($E$24*F25,2)</f>
        <v>0</v>
      </c>
      <c r="G24" s="12">
        <f t="shared" ref="G24:Q24" si="11">ROUND($E$24*G25,2)</f>
        <v>0</v>
      </c>
      <c r="H24" s="12">
        <f t="shared" si="11"/>
        <v>28950</v>
      </c>
      <c r="I24" s="12">
        <f t="shared" si="11"/>
        <v>28950</v>
      </c>
      <c r="J24" s="12">
        <f t="shared" si="11"/>
        <v>28950</v>
      </c>
      <c r="K24" s="12">
        <f t="shared" si="11"/>
        <v>28950</v>
      </c>
      <c r="L24" s="12">
        <f t="shared" si="11"/>
        <v>28950</v>
      </c>
      <c r="M24" s="12">
        <f t="shared" si="11"/>
        <v>28950</v>
      </c>
      <c r="N24" s="12">
        <f t="shared" si="11"/>
        <v>28950</v>
      </c>
      <c r="O24" s="12">
        <f t="shared" si="11"/>
        <v>28950</v>
      </c>
      <c r="P24" s="12">
        <f t="shared" si="11"/>
        <v>28950</v>
      </c>
      <c r="Q24" s="12">
        <f t="shared" si="11"/>
        <v>28950</v>
      </c>
      <c r="R24" s="31">
        <f t="shared" si="9"/>
        <v>289500</v>
      </c>
      <c r="S24" s="32">
        <f>E24-R24</f>
        <v>0</v>
      </c>
    </row>
    <row r="25" spans="2:19" s="1" customFormat="1" ht="45.75" customHeight="1">
      <c r="B25" s="574"/>
      <c r="C25" s="570"/>
      <c r="D25" s="558"/>
      <c r="E25" s="13" t="s">
        <v>19</v>
      </c>
      <c r="F25" s="14">
        <v>0</v>
      </c>
      <c r="G25" s="14">
        <v>0</v>
      </c>
      <c r="H25" s="14">
        <v>0.1</v>
      </c>
      <c r="I25" s="14">
        <v>0.1</v>
      </c>
      <c r="J25" s="14">
        <v>0.1</v>
      </c>
      <c r="K25" s="14">
        <v>0.1</v>
      </c>
      <c r="L25" s="14">
        <v>0.1</v>
      </c>
      <c r="M25" s="14">
        <v>0.1</v>
      </c>
      <c r="N25" s="14">
        <v>0.1</v>
      </c>
      <c r="O25" s="14">
        <v>0.1</v>
      </c>
      <c r="P25" s="14">
        <v>0.1</v>
      </c>
      <c r="Q25" s="14">
        <v>0.1</v>
      </c>
      <c r="R25" s="33">
        <f t="shared" si="9"/>
        <v>0.99999999999999989</v>
      </c>
    </row>
    <row r="26" spans="2:19" s="1" customFormat="1" ht="31.5" customHeight="1">
      <c r="B26" s="565" t="s">
        <v>39</v>
      </c>
      <c r="C26" s="567" t="str">
        <f>'COMPOSIÇÕES - SICRO'!A11</f>
        <v>SICRO 5501706</v>
      </c>
      <c r="D26" s="555" t="s">
        <v>40</v>
      </c>
      <c r="E26" s="15">
        <f>'PLANILHA GLOBAL'!L27</f>
        <v>854000</v>
      </c>
      <c r="F26" s="16">
        <f>ROUND($E$26*F27,2)</f>
        <v>0</v>
      </c>
      <c r="G26" s="16">
        <f t="shared" ref="G26:Q26" si="12">ROUND($E$26*G27,2)</f>
        <v>85400</v>
      </c>
      <c r="H26" s="16">
        <f t="shared" si="12"/>
        <v>85400</v>
      </c>
      <c r="I26" s="16">
        <f t="shared" si="12"/>
        <v>85400</v>
      </c>
      <c r="J26" s="16">
        <f t="shared" si="12"/>
        <v>85400</v>
      </c>
      <c r="K26" s="16">
        <f t="shared" si="12"/>
        <v>85400</v>
      </c>
      <c r="L26" s="16">
        <f t="shared" si="12"/>
        <v>85400</v>
      </c>
      <c r="M26" s="16">
        <f t="shared" si="12"/>
        <v>85400</v>
      </c>
      <c r="N26" s="16">
        <f t="shared" si="12"/>
        <v>85400</v>
      </c>
      <c r="O26" s="16">
        <f t="shared" si="12"/>
        <v>85400</v>
      </c>
      <c r="P26" s="16">
        <f t="shared" si="12"/>
        <v>85400</v>
      </c>
      <c r="Q26" s="16">
        <f t="shared" si="12"/>
        <v>0</v>
      </c>
      <c r="R26" s="34">
        <f t="shared" si="9"/>
        <v>854000</v>
      </c>
      <c r="S26" s="32">
        <f>E26-R26</f>
        <v>0</v>
      </c>
    </row>
    <row r="27" spans="2:19" s="1" customFormat="1" ht="31.5" customHeight="1">
      <c r="B27" s="575"/>
      <c r="C27" s="571"/>
      <c r="D27" s="556"/>
      <c r="E27" s="17" t="s">
        <v>19</v>
      </c>
      <c r="F27" s="18">
        <v>0</v>
      </c>
      <c r="G27" s="18">
        <v>0.1</v>
      </c>
      <c r="H27" s="18">
        <v>0.1</v>
      </c>
      <c r="I27" s="18">
        <v>0.1</v>
      </c>
      <c r="J27" s="18">
        <v>0.1</v>
      </c>
      <c r="K27" s="18">
        <v>0.1</v>
      </c>
      <c r="L27" s="18">
        <v>0.1</v>
      </c>
      <c r="M27" s="18">
        <v>0.1</v>
      </c>
      <c r="N27" s="18">
        <v>0.1</v>
      </c>
      <c r="O27" s="18">
        <v>0.1</v>
      </c>
      <c r="P27" s="18">
        <v>0.1</v>
      </c>
      <c r="Q27" s="18">
        <v>0</v>
      </c>
      <c r="R27" s="35">
        <f t="shared" si="9"/>
        <v>0.99999999999999989</v>
      </c>
    </row>
    <row r="28" spans="2:19" s="1" customFormat="1" ht="31.5" customHeight="1">
      <c r="B28" s="573" t="s">
        <v>41</v>
      </c>
      <c r="C28" s="569" t="str">
        <f>'COMPOSIÇÕES - SICRO'!A39</f>
        <v>SICRO 4805754</v>
      </c>
      <c r="D28" s="557" t="s">
        <v>42</v>
      </c>
      <c r="E28" s="11">
        <f>'PLANILHA GLOBAL'!L28</f>
        <v>781000</v>
      </c>
      <c r="F28" s="12">
        <f>ROUND($E$28*F29,2)</f>
        <v>0</v>
      </c>
      <c r="G28" s="12">
        <f t="shared" ref="G28:Q28" si="13">ROUND($E$28*G29,2)</f>
        <v>0</v>
      </c>
      <c r="H28" s="12">
        <f t="shared" si="13"/>
        <v>78100</v>
      </c>
      <c r="I28" s="12">
        <f t="shared" si="13"/>
        <v>78100</v>
      </c>
      <c r="J28" s="12">
        <f t="shared" si="13"/>
        <v>78100</v>
      </c>
      <c r="K28" s="12">
        <f t="shared" si="13"/>
        <v>78100</v>
      </c>
      <c r="L28" s="12">
        <f t="shared" si="13"/>
        <v>78100</v>
      </c>
      <c r="M28" s="12">
        <f t="shared" si="13"/>
        <v>78100</v>
      </c>
      <c r="N28" s="12">
        <f t="shared" si="13"/>
        <v>78100</v>
      </c>
      <c r="O28" s="12">
        <f t="shared" si="13"/>
        <v>78100</v>
      </c>
      <c r="P28" s="12">
        <f t="shared" si="13"/>
        <v>78100</v>
      </c>
      <c r="Q28" s="12">
        <f t="shared" si="13"/>
        <v>78100</v>
      </c>
      <c r="R28" s="31">
        <f t="shared" ref="R28:R29" si="14">SUM(F28:Q28)</f>
        <v>781000</v>
      </c>
      <c r="S28" s="32">
        <f>E28-R28</f>
        <v>0</v>
      </c>
    </row>
    <row r="29" spans="2:19" s="1" customFormat="1" ht="31.5" customHeight="1">
      <c r="B29" s="576"/>
      <c r="C29" s="572"/>
      <c r="D29" s="559"/>
      <c r="E29" s="23" t="s">
        <v>19</v>
      </c>
      <c r="F29" s="24">
        <v>0</v>
      </c>
      <c r="G29" s="24">
        <v>0</v>
      </c>
      <c r="H29" s="24">
        <v>0.1</v>
      </c>
      <c r="I29" s="24">
        <v>0.1</v>
      </c>
      <c r="J29" s="24">
        <v>0.1</v>
      </c>
      <c r="K29" s="24">
        <v>0.1</v>
      </c>
      <c r="L29" s="24">
        <v>0.1</v>
      </c>
      <c r="M29" s="24">
        <v>0.1</v>
      </c>
      <c r="N29" s="24">
        <v>0.1</v>
      </c>
      <c r="O29" s="24">
        <v>0.1</v>
      </c>
      <c r="P29" s="24">
        <v>0.1</v>
      </c>
      <c r="Q29" s="24">
        <v>0.1</v>
      </c>
      <c r="R29" s="39">
        <f t="shared" si="14"/>
        <v>0.99999999999999989</v>
      </c>
    </row>
    <row r="30" spans="2:19" s="1" customFormat="1" ht="18.75" customHeight="1">
      <c r="D30" s="3"/>
      <c r="E30" s="2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37" t="s">
        <v>317</v>
      </c>
      <c r="R30" s="38">
        <f>SUM(R20,R22,R24,R26,R28)</f>
        <v>3464750</v>
      </c>
    </row>
    <row r="31" spans="2:19" ht="15.75">
      <c r="D31" s="26" t="s">
        <v>316</v>
      </c>
      <c r="E31" s="27">
        <f>SUM(E6,E8,E10,E12,E14,E16,E20,E22,E24,E26,E28)</f>
        <v>4457508.33</v>
      </c>
      <c r="Q31" s="40" t="s">
        <v>318</v>
      </c>
      <c r="R31" s="41">
        <f>SUM(R18,R30)</f>
        <v>4457508.33</v>
      </c>
    </row>
    <row r="32" spans="2:19" ht="15.75" hidden="1">
      <c r="D32" s="28" t="s">
        <v>319</v>
      </c>
      <c r="E32" s="29">
        <f>E31-E10</f>
        <v>4456338.92</v>
      </c>
    </row>
  </sheetData>
  <mergeCells count="40">
    <mergeCell ref="D6:D7"/>
    <mergeCell ref="D8:D9"/>
    <mergeCell ref="B1:P1"/>
    <mergeCell ref="Q1:R1"/>
    <mergeCell ref="B2:R2"/>
    <mergeCell ref="B3:R3"/>
    <mergeCell ref="C5:D5"/>
    <mergeCell ref="C6:C7"/>
    <mergeCell ref="C8:C9"/>
    <mergeCell ref="C10:C11"/>
    <mergeCell ref="C12:C13"/>
    <mergeCell ref="C14:C15"/>
    <mergeCell ref="B6:B7"/>
    <mergeCell ref="B8:B9"/>
    <mergeCell ref="B10:B11"/>
    <mergeCell ref="B12:B13"/>
    <mergeCell ref="B14:B15"/>
    <mergeCell ref="C26:C27"/>
    <mergeCell ref="C28:C29"/>
    <mergeCell ref="B20:B21"/>
    <mergeCell ref="B22:B23"/>
    <mergeCell ref="B24:B25"/>
    <mergeCell ref="B26:B27"/>
    <mergeCell ref="B28:B29"/>
    <mergeCell ref="D22:D23"/>
    <mergeCell ref="D24:D25"/>
    <mergeCell ref="D26:D27"/>
    <mergeCell ref="D28:D29"/>
    <mergeCell ref="D10:D11"/>
    <mergeCell ref="D12:D13"/>
    <mergeCell ref="D14:D15"/>
    <mergeCell ref="D16:D17"/>
    <mergeCell ref="D20:D21"/>
    <mergeCell ref="B18:D18"/>
    <mergeCell ref="C19:D19"/>
    <mergeCell ref="B16:B17"/>
    <mergeCell ref="C16:C17"/>
    <mergeCell ref="C20:C21"/>
    <mergeCell ref="C22:C23"/>
    <mergeCell ref="C24:C25"/>
  </mergeCells>
  <conditionalFormatting sqref="B5">
    <cfRule type="expression" dxfId="9" priority="28" stopIfTrue="1">
      <formula>RIGHT(B5,2)="00"</formula>
    </cfRule>
  </conditionalFormatting>
  <conditionalFormatting sqref="B10">
    <cfRule type="expression" dxfId="8" priority="17" stopIfTrue="1">
      <formula>RIGHT(B10,2)="00"</formula>
    </cfRule>
  </conditionalFormatting>
  <conditionalFormatting sqref="B12">
    <cfRule type="expression" dxfId="7" priority="15" stopIfTrue="1">
      <formula>RIGHT(B12,2)="00"</formula>
    </cfRule>
  </conditionalFormatting>
  <conditionalFormatting sqref="B14">
    <cfRule type="expression" dxfId="6" priority="13" stopIfTrue="1">
      <formula>RIGHT(B14,2)="00"</formula>
    </cfRule>
  </conditionalFormatting>
  <conditionalFormatting sqref="B16">
    <cfRule type="expression" dxfId="5" priority="11" stopIfTrue="1">
      <formula>RIGHT(B16,2)="00"</formula>
    </cfRule>
  </conditionalFormatting>
  <conditionalFormatting sqref="B20">
    <cfRule type="expression" dxfId="4" priority="9" stopIfTrue="1">
      <formula>RIGHT(B20,2)="00"</formula>
    </cfRule>
  </conditionalFormatting>
  <conditionalFormatting sqref="B22">
    <cfRule type="expression" dxfId="3" priority="7" stopIfTrue="1">
      <formula>RIGHT(B22,2)="00"</formula>
    </cfRule>
  </conditionalFormatting>
  <conditionalFormatting sqref="B24">
    <cfRule type="expression" dxfId="2" priority="5" stopIfTrue="1">
      <formula>RIGHT(B24,2)="00"</formula>
    </cfRule>
  </conditionalFormatting>
  <conditionalFormatting sqref="B26">
    <cfRule type="expression" dxfId="1" priority="3" stopIfTrue="1">
      <formula>RIGHT(B26,2)="00"</formula>
    </cfRule>
  </conditionalFormatting>
  <conditionalFormatting sqref="B28">
    <cfRule type="expression" dxfId="0" priority="1" stopIfTrue="1">
      <formula>RIGHT(B28,2)="00"</formula>
    </cfRule>
  </conditionalFormatting>
  <pageMargins left="0.39370078740157499" right="0.39370078740157499" top="0.39370078740157499" bottom="0.39370078740157499" header="0.31496062992126" footer="0.31496062992126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PLANILHA GLOBAL</vt:lpstr>
      <vt:lpstr>COMP. MÓD. 1.000 M³</vt:lpstr>
      <vt:lpstr>COMPOSIÇÕES - SICRO</vt:lpstr>
      <vt:lpstr>COMPOSIÇÕES SINAPI</vt:lpstr>
      <vt:lpstr>INSUMOS - PREÇOS</vt:lpstr>
      <vt:lpstr>MOBILIZAÇÃO</vt:lpstr>
      <vt:lpstr>BDI</vt:lpstr>
      <vt:lpstr>DET. ENCARGOS</vt:lpstr>
      <vt:lpstr>CRONO FISICO-FINANCEIRO</vt:lpstr>
      <vt:lpstr>BDI!Area_de_impressao</vt:lpstr>
      <vt:lpstr>'COMP. MÓD. 1.000 M³'!Area_de_impressao</vt:lpstr>
      <vt:lpstr>'CRONO FISICO-FINANCEIRO'!Area_de_impressao</vt:lpstr>
      <vt:lpstr>'DET. ENCARGOS'!Area_de_impressao</vt:lpstr>
      <vt:lpstr>'INSUMOS - PREÇOS'!Area_de_impressao</vt:lpstr>
      <vt:lpstr>MOBILIZAÇÃO!Area_de_impressao</vt:lpstr>
      <vt:lpstr>'PLANILHA GLOBAL'!Area_de_impressao</vt:lpstr>
    </vt:vector>
  </TitlesOfParts>
  <Company>DERBa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ana.maiara</cp:lastModifiedBy>
  <cp:lastPrinted>2023-09-14T13:34:38Z</cp:lastPrinted>
  <dcterms:created xsi:type="dcterms:W3CDTF">1998-01-22T12:19:00Z</dcterms:created>
  <dcterms:modified xsi:type="dcterms:W3CDTF">2023-09-19T18:43:47Z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74CF28E284254656A80D802DDCE8905A_13</vt:lpwstr>
  </property>
  <property fmtid="{D5CDD505-2E9C-101B-9397-08002B2CF9AE}" pid="3" name="KSOProductBuildVer">
    <vt:lpwstr>1046-12.2.0.13201</vt:lpwstr>
  </property>
</Properties>
</file>