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022sr\SL\DIVERSOS 2023\EDITAIS 2023\PE XX-2023 - Serviço Manut. Sist. Macro Drenagem Irrigação Baixio - (GRI)\Anexo I - Termo de Referênia e Anexos\"/>
    </mc:Choice>
  </mc:AlternateContent>
  <xr:revisionPtr revIDLastSave="0" documentId="8_{CC0EF862-BF8A-4890-B821-9EA58222CBCB}" xr6:coauthVersionLast="47" xr6:coauthVersionMax="47" xr10:uidLastSave="{00000000-0000-0000-0000-000000000000}"/>
  <bookViews>
    <workbookView xWindow="28680" yWindow="-120" windowWidth="21840" windowHeight="13020" tabRatio="828" xr2:uid="{13F0263B-52AD-4ADA-A3E0-C8E75F28FEB1}"/>
  </bookViews>
  <sheets>
    <sheet name="Orçamento_Resumo" sheetId="22" r:id="rId1"/>
    <sheet name="Orçamento_Sintético" sheetId="11" r:id="rId2"/>
    <sheet name="Cronograma" sheetId="20" r:id="rId3"/>
    <sheet name="CPU serviços" sheetId="19" r:id="rId4"/>
    <sheet name="CPU Codevasf" sheetId="12" r:id="rId5"/>
    <sheet name="MEMORIA DE CALCULO" sheetId="18" r:id="rId6"/>
    <sheet name="BDI" sheetId="16" r:id="rId7"/>
    <sheet name="Encargos Sociais" sheetId="15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3" hidden="1">'CPU serviços'!$A$7:$G$33</definedName>
    <definedName name="_xlnm._FilterDatabase" localSheetId="5" hidden="1">'MEMORIA DE CALCULO'!$A$6:$H$205</definedName>
    <definedName name="_xlnm._FilterDatabase" localSheetId="0" hidden="1">Orçamento_Resumo!$A$9:$I$178</definedName>
    <definedName name="_xlnm._FilterDatabase" localSheetId="1" hidden="1">Orçamento_Sintético!$A$9:$I$178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MUR">[1]SERVIÇO!#REF!</definedName>
    <definedName name="ACONT2">[1]SERVIÇO!#REF!</definedName>
    <definedName name="ACPIPA">[1]SERVIÇO!#REF!</definedName>
    <definedName name="ACTRANSP">[1]SERVIÇO!#REF!</definedName>
    <definedName name="ADUCQT">[1]SERVIÇO!#REF!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QTEMP1">[1]SERVIÇO!#REF!</definedName>
    <definedName name="AQTEMP2">[1]SERVIÇO!#REF!</definedName>
    <definedName name="_xlnm.Print_Area" localSheetId="3">'CPU serviços'!$A$1:$G$35</definedName>
    <definedName name="_xlnm.Print_Area" localSheetId="2">Cronograma!$A$1:$F$22</definedName>
    <definedName name="_xlnm.Print_Area" localSheetId="0">Orçamento_Resumo!$A$1:$I$178</definedName>
    <definedName name="_xlnm.Print_Area" localSheetId="1">Orçamento_Sintético!$A$1:$I$178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bebqt">[1]SERVIÇO!#REF!</definedName>
    <definedName name="CAMP">[1]SERVIÇO!#REF!</definedName>
    <definedName name="CHAFQT">[1]SERVIÇO!#REF!</definedName>
    <definedName name="COD_ATRIUM">#REF!</definedName>
    <definedName name="COD_SINAPI">#REF!</definedName>
    <definedName name="COLSUB">[1]SERVIÇO!#REF!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DERIVQT">[1]SERVIÇO!#REF!</definedName>
    <definedName name="descnt">#REF!</definedName>
    <definedName name="descont">#REF!</definedName>
    <definedName name="DIFQT">[1]SERVIÇO!#REF!</definedName>
    <definedName name="EQPOTENC">[1]SERVIÇO!#REF!</definedName>
    <definedName name="FCRITER">[1]SERVIÇO!#REF!</definedName>
    <definedName name="HOJE">[1]SERVIÇO!#REF!</definedName>
    <definedName name="IMPF">[1]SERVIÇO!#REF!</definedName>
    <definedName name="IMPI">[1]SERVIÇO!#REF!</definedName>
    <definedName name="Insumos">'[2]RELAÇÃO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LIN">[1]SERVIÇO!#REF!</definedName>
    <definedName name="LISTSEL">[1]SERVIÇO!#REF!</definedName>
    <definedName name="LOCAB">[1]SERVIÇO!#REF!</definedName>
    <definedName name="LOCAL">[1]SERVIÇO!#REF!</definedName>
    <definedName name="MARCAX">[1]SERVIÇO!#REF!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UNICIPIO">[1]SERVIÇO!#REF!</definedName>
    <definedName name="MURBOMB">[1]SERVIÇO!#REF!</definedName>
    <definedName name="NDATA">[1]SERVIÇO!#REF!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PDER">[1]SERVIÇO!#REF!</definedName>
    <definedName name="PDIVERS">[1]SERVIÇO!#REF!</definedName>
    <definedName name="PEMD">[1]SERVIÇO!#REF!</definedName>
    <definedName name="PIEQUIP">[1]SERVIÇO!#REF!</definedName>
    <definedName name="PMUR">[1]SERVIÇO!#REF!</definedName>
    <definedName name="PTGERAL">[1]SERVIÇO!#REF!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ECADUC">[1]SERVIÇO!#REF!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ISTEM1">[1]SERVIÇO!#REF!</definedName>
    <definedName name="SISTEM2">[1]SERVIÇO!#REF!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itbeb">[1]SERVIÇO!#REF!</definedName>
    <definedName name="TITCHAF">[1]SERVIÇO!#REF!</definedName>
    <definedName name="TOTQTS">[1]SERVIÇO!#REF!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ZECA">[1]SERVIÇO!#REF!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5" i="18" l="1"/>
  <c r="G205" i="18" s="1"/>
  <c r="I173" i="11"/>
  <c r="G176" i="22"/>
  <c r="E176" i="22"/>
  <c r="D176" i="22"/>
  <c r="G171" i="22"/>
  <c r="E171" i="22"/>
  <c r="D171" i="22"/>
  <c r="G170" i="22"/>
  <c r="E170" i="22"/>
  <c r="D170" i="22"/>
  <c r="G169" i="22"/>
  <c r="E169" i="22"/>
  <c r="D169" i="22"/>
  <c r="G168" i="22"/>
  <c r="E168" i="22"/>
  <c r="D168" i="22"/>
  <c r="G166" i="22"/>
  <c r="E166" i="22"/>
  <c r="D166" i="22"/>
  <c r="G164" i="22"/>
  <c r="E164" i="22"/>
  <c r="D164" i="22"/>
  <c r="G163" i="22"/>
  <c r="E163" i="22"/>
  <c r="D163" i="22"/>
  <c r="G162" i="22"/>
  <c r="E162" i="22"/>
  <c r="D162" i="22"/>
  <c r="G161" i="22"/>
  <c r="E161" i="22"/>
  <c r="D161" i="22"/>
  <c r="G158" i="22"/>
  <c r="E158" i="22"/>
  <c r="D158" i="22"/>
  <c r="G157" i="22"/>
  <c r="E157" i="22"/>
  <c r="D157" i="22"/>
  <c r="G156" i="22"/>
  <c r="E156" i="22"/>
  <c r="D156" i="22"/>
  <c r="G154" i="22"/>
  <c r="E154" i="22"/>
  <c r="D154" i="22"/>
  <c r="G153" i="22"/>
  <c r="E153" i="22"/>
  <c r="D153" i="22"/>
  <c r="G150" i="22"/>
  <c r="E150" i="22"/>
  <c r="D150" i="22"/>
  <c r="G148" i="22"/>
  <c r="E148" i="22"/>
  <c r="D148" i="22"/>
  <c r="G147" i="22"/>
  <c r="E147" i="22"/>
  <c r="D147" i="22"/>
  <c r="G146" i="22"/>
  <c r="E146" i="22"/>
  <c r="D146" i="22"/>
  <c r="G145" i="22"/>
  <c r="E145" i="22"/>
  <c r="D145" i="22"/>
  <c r="G144" i="22"/>
  <c r="E144" i="22"/>
  <c r="D144" i="22"/>
  <c r="G141" i="22"/>
  <c r="E141" i="22"/>
  <c r="D141" i="22"/>
  <c r="G139" i="22"/>
  <c r="E139" i="22"/>
  <c r="D139" i="22"/>
  <c r="G138" i="22"/>
  <c r="E138" i="22"/>
  <c r="D138" i="22"/>
  <c r="G137" i="22"/>
  <c r="E137" i="22"/>
  <c r="D137" i="22"/>
  <c r="G136" i="22"/>
  <c r="E136" i="22"/>
  <c r="D136" i="22"/>
  <c r="G135" i="22"/>
  <c r="E135" i="22"/>
  <c r="D135" i="22"/>
  <c r="G134" i="22"/>
  <c r="E134" i="22"/>
  <c r="D134" i="22"/>
  <c r="G133" i="22"/>
  <c r="E133" i="22"/>
  <c r="D133" i="22"/>
  <c r="G132" i="22"/>
  <c r="E132" i="22"/>
  <c r="D132" i="22"/>
  <c r="G131" i="22"/>
  <c r="E131" i="22"/>
  <c r="D131" i="22"/>
  <c r="G130" i="22"/>
  <c r="E130" i="22"/>
  <c r="D130" i="22"/>
  <c r="G127" i="22"/>
  <c r="E127" i="22"/>
  <c r="D127" i="22"/>
  <c r="G126" i="22"/>
  <c r="E126" i="22"/>
  <c r="D126" i="22"/>
  <c r="G123" i="22"/>
  <c r="E123" i="22"/>
  <c r="D123" i="22"/>
  <c r="G122" i="22"/>
  <c r="E122" i="22"/>
  <c r="D122" i="22"/>
  <c r="G120" i="22"/>
  <c r="E120" i="22"/>
  <c r="D120" i="22"/>
  <c r="G119" i="22"/>
  <c r="E119" i="22"/>
  <c r="D119" i="22"/>
  <c r="G116" i="22"/>
  <c r="E116" i="22"/>
  <c r="D116" i="22"/>
  <c r="G114" i="22"/>
  <c r="E114" i="22"/>
  <c r="D114" i="22"/>
  <c r="G113" i="22"/>
  <c r="E113" i="22"/>
  <c r="D113" i="22"/>
  <c r="G110" i="22"/>
  <c r="E110" i="22"/>
  <c r="D110" i="22"/>
  <c r="G109" i="22"/>
  <c r="E109" i="22"/>
  <c r="D109" i="22"/>
  <c r="G106" i="22"/>
  <c r="E106" i="22"/>
  <c r="D106" i="22"/>
  <c r="G105" i="22"/>
  <c r="E105" i="22"/>
  <c r="D105" i="22"/>
  <c r="G103" i="22"/>
  <c r="E103" i="22"/>
  <c r="D103" i="22"/>
  <c r="G102" i="22"/>
  <c r="E102" i="22"/>
  <c r="D102" i="22"/>
  <c r="G101" i="22"/>
  <c r="E101" i="22"/>
  <c r="D101" i="22"/>
  <c r="G98" i="22"/>
  <c r="E98" i="22"/>
  <c r="D98" i="22"/>
  <c r="G97" i="22"/>
  <c r="E97" i="22"/>
  <c r="D97" i="22"/>
  <c r="G96" i="22"/>
  <c r="E96" i="22"/>
  <c r="D96" i="22"/>
  <c r="G95" i="22"/>
  <c r="E95" i="22"/>
  <c r="D95" i="22"/>
  <c r="G94" i="22"/>
  <c r="E94" i="22"/>
  <c r="D94" i="22"/>
  <c r="G92" i="22"/>
  <c r="E92" i="22"/>
  <c r="D92" i="22"/>
  <c r="G91" i="22"/>
  <c r="E91" i="22"/>
  <c r="D91" i="22"/>
  <c r="G90" i="22"/>
  <c r="E90" i="22"/>
  <c r="D90" i="22"/>
  <c r="G89" i="22"/>
  <c r="E89" i="22"/>
  <c r="D89" i="22"/>
  <c r="G88" i="22"/>
  <c r="E88" i="22"/>
  <c r="D88" i="22"/>
  <c r="G87" i="22"/>
  <c r="E87" i="22"/>
  <c r="D87" i="22"/>
  <c r="G84" i="22"/>
  <c r="E84" i="22"/>
  <c r="D84" i="22"/>
  <c r="G82" i="22"/>
  <c r="F82" i="22"/>
  <c r="E82" i="22"/>
  <c r="D82" i="22"/>
  <c r="G81" i="22"/>
  <c r="E81" i="22"/>
  <c r="D81" i="22"/>
  <c r="G80" i="22"/>
  <c r="E80" i="22"/>
  <c r="D80" i="22"/>
  <c r="G79" i="22"/>
  <c r="E79" i="22"/>
  <c r="D79" i="22"/>
  <c r="G78" i="22"/>
  <c r="E78" i="22"/>
  <c r="D78" i="22"/>
  <c r="G75" i="22"/>
  <c r="E75" i="22"/>
  <c r="D75" i="22"/>
  <c r="G73" i="22"/>
  <c r="E73" i="22"/>
  <c r="D73" i="22"/>
  <c r="G72" i="22"/>
  <c r="E72" i="22"/>
  <c r="D72" i="22"/>
  <c r="G71" i="22"/>
  <c r="E71" i="22"/>
  <c r="D71" i="22"/>
  <c r="G70" i="22"/>
  <c r="F70" i="22"/>
  <c r="E70" i="22"/>
  <c r="D70" i="22"/>
  <c r="G69" i="22"/>
  <c r="E69" i="22"/>
  <c r="D69" i="22"/>
  <c r="G68" i="22"/>
  <c r="E68" i="22"/>
  <c r="D68" i="22"/>
  <c r="G67" i="22"/>
  <c r="E67" i="22"/>
  <c r="D67" i="22"/>
  <c r="G66" i="22"/>
  <c r="E66" i="22"/>
  <c r="D66" i="22"/>
  <c r="G65" i="22"/>
  <c r="E65" i="22"/>
  <c r="D65" i="22"/>
  <c r="G64" i="22"/>
  <c r="E64" i="22"/>
  <c r="D64" i="22"/>
  <c r="G61" i="22"/>
  <c r="E61" i="22"/>
  <c r="D61" i="22"/>
  <c r="G59" i="22"/>
  <c r="E59" i="22"/>
  <c r="D59" i="22"/>
  <c r="G58" i="22"/>
  <c r="E58" i="22"/>
  <c r="D58" i="22"/>
  <c r="G57" i="22"/>
  <c r="E57" i="22"/>
  <c r="D57" i="22"/>
  <c r="G56" i="22"/>
  <c r="F56" i="22"/>
  <c r="E56" i="22"/>
  <c r="D56" i="22"/>
  <c r="G55" i="22"/>
  <c r="E55" i="22"/>
  <c r="D55" i="22"/>
  <c r="G54" i="22"/>
  <c r="E54" i="22"/>
  <c r="D54" i="22"/>
  <c r="G53" i="22"/>
  <c r="E53" i="22"/>
  <c r="D53" i="22"/>
  <c r="G52" i="22"/>
  <c r="E52" i="22"/>
  <c r="D52" i="22"/>
  <c r="G51" i="22"/>
  <c r="E51" i="22"/>
  <c r="D51" i="22"/>
  <c r="G48" i="22"/>
  <c r="E48" i="22"/>
  <c r="D48" i="22"/>
  <c r="G47" i="22"/>
  <c r="E47" i="22"/>
  <c r="D47" i="22"/>
  <c r="G46" i="22"/>
  <c r="E46" i="22"/>
  <c r="D46" i="22"/>
  <c r="G45" i="22"/>
  <c r="E45" i="22"/>
  <c r="D45" i="22"/>
  <c r="G44" i="22"/>
  <c r="E44" i="22"/>
  <c r="D44" i="22"/>
  <c r="G43" i="22"/>
  <c r="E43" i="22"/>
  <c r="D43" i="22"/>
  <c r="G42" i="22"/>
  <c r="E42" i="22"/>
  <c r="D42" i="22"/>
  <c r="G39" i="22"/>
  <c r="E39" i="22"/>
  <c r="D39" i="22"/>
  <c r="G38" i="22"/>
  <c r="E38" i="22"/>
  <c r="D38" i="22"/>
  <c r="G37" i="22"/>
  <c r="E37" i="22"/>
  <c r="D37" i="22"/>
  <c r="G36" i="22"/>
  <c r="E36" i="22"/>
  <c r="D36" i="22"/>
  <c r="G35" i="22"/>
  <c r="E35" i="22"/>
  <c r="D35" i="22"/>
  <c r="G33" i="22"/>
  <c r="E33" i="22"/>
  <c r="D33" i="22"/>
  <c r="G32" i="22"/>
  <c r="H32" i="22" s="1"/>
  <c r="E32" i="22"/>
  <c r="D32" i="22"/>
  <c r="G31" i="22"/>
  <c r="E31" i="22"/>
  <c r="D31" i="22"/>
  <c r="G28" i="22"/>
  <c r="E28" i="22"/>
  <c r="D28" i="22"/>
  <c r="G27" i="22"/>
  <c r="E27" i="22"/>
  <c r="D27" i="22"/>
  <c r="G25" i="22"/>
  <c r="E25" i="22"/>
  <c r="D25" i="22"/>
  <c r="G22" i="22"/>
  <c r="E22" i="22"/>
  <c r="D22" i="22"/>
  <c r="G21" i="22"/>
  <c r="F21" i="22"/>
  <c r="E21" i="22"/>
  <c r="D21" i="22"/>
  <c r="G20" i="22"/>
  <c r="E20" i="22"/>
  <c r="D20" i="22"/>
  <c r="G19" i="22"/>
  <c r="E19" i="22"/>
  <c r="D19" i="22"/>
  <c r="G18" i="22"/>
  <c r="E18" i="22"/>
  <c r="D18" i="22"/>
  <c r="G14" i="22"/>
  <c r="H14" i="22" s="1"/>
  <c r="I14" i="22" s="1"/>
  <c r="G13" i="22"/>
  <c r="H13" i="22" s="1"/>
  <c r="I13" i="22" s="1"/>
  <c r="G12" i="22"/>
  <c r="H12" i="22" s="1"/>
  <c r="I12" i="22" s="1"/>
  <c r="G11" i="22"/>
  <c r="I7" i="22"/>
  <c r="H164" i="22" s="1"/>
  <c r="I6" i="22"/>
  <c r="G196" i="18"/>
  <c r="G193" i="18"/>
  <c r="F171" i="11" s="1"/>
  <c r="G201" i="18"/>
  <c r="G198" i="18"/>
  <c r="G199" i="18" s="1"/>
  <c r="G200" i="18" s="1"/>
  <c r="G197" i="18"/>
  <c r="G194" i="18"/>
  <c r="G195" i="18" s="1"/>
  <c r="G191" i="18"/>
  <c r="G192" i="18" s="1"/>
  <c r="F169" i="22" s="1"/>
  <c r="G190" i="18"/>
  <c r="G202" i="18" s="1"/>
  <c r="G203" i="18" s="1"/>
  <c r="G187" i="18"/>
  <c r="G189" i="18" s="1"/>
  <c r="F168" i="11" s="1"/>
  <c r="G154" i="18"/>
  <c r="G123" i="18"/>
  <c r="F116" i="22" s="1"/>
  <c r="G78" i="18"/>
  <c r="G57" i="18"/>
  <c r="G65" i="18"/>
  <c r="F69" i="22" s="1"/>
  <c r="G70" i="18"/>
  <c r="F170" i="22" l="1"/>
  <c r="F168" i="22"/>
  <c r="F171" i="22"/>
  <c r="F176" i="22"/>
  <c r="F176" i="11"/>
  <c r="H20" i="22"/>
  <c r="H27" i="22"/>
  <c r="H31" i="22"/>
  <c r="H48" i="22"/>
  <c r="H52" i="22"/>
  <c r="H97" i="22"/>
  <c r="H101" i="22"/>
  <c r="H134" i="22"/>
  <c r="H137" i="22"/>
  <c r="H176" i="22"/>
  <c r="H33" i="22"/>
  <c r="H38" i="22"/>
  <c r="H42" i="22"/>
  <c r="H66" i="22"/>
  <c r="H61" i="22"/>
  <c r="H120" i="22"/>
  <c r="I120" i="22" s="1"/>
  <c r="H18" i="22"/>
  <c r="H21" i="22"/>
  <c r="I21" i="22" s="1"/>
  <c r="H25" i="22"/>
  <c r="H28" i="22"/>
  <c r="H51" i="22"/>
  <c r="H105" i="22"/>
  <c r="H135" i="22"/>
  <c r="H166" i="22"/>
  <c r="H168" i="22"/>
  <c r="I168" i="22" s="1"/>
  <c r="H169" i="22"/>
  <c r="I169" i="22" s="1"/>
  <c r="H171" i="22"/>
  <c r="H11" i="22"/>
  <c r="I11" i="22" s="1"/>
  <c r="L11" i="22" s="1"/>
  <c r="L12" i="22" s="1"/>
  <c r="H35" i="22"/>
  <c r="H37" i="22"/>
  <c r="H39" i="22"/>
  <c r="H43" i="22"/>
  <c r="H44" i="22"/>
  <c r="H46" i="22"/>
  <c r="H65" i="22"/>
  <c r="H68" i="22"/>
  <c r="H69" i="22"/>
  <c r="I69" i="22" s="1"/>
  <c r="H71" i="22"/>
  <c r="H73" i="22"/>
  <c r="H75" i="22"/>
  <c r="H78" i="22"/>
  <c r="H80" i="22"/>
  <c r="H81" i="22"/>
  <c r="H84" i="22"/>
  <c r="H87" i="22"/>
  <c r="H88" i="22"/>
  <c r="H90" i="22"/>
  <c r="H91" i="22"/>
  <c r="H94" i="22"/>
  <c r="H123" i="22"/>
  <c r="I123" i="22" s="1"/>
  <c r="H127" i="22"/>
  <c r="H131" i="22"/>
  <c r="H133" i="22"/>
  <c r="H58" i="22"/>
  <c r="H54" i="22"/>
  <c r="H55" i="22"/>
  <c r="H57" i="22"/>
  <c r="H109" i="22"/>
  <c r="H116" i="22"/>
  <c r="I116" i="22" s="1"/>
  <c r="H119" i="22"/>
  <c r="H138" i="22"/>
  <c r="H141" i="22"/>
  <c r="H145" i="22"/>
  <c r="H148" i="22"/>
  <c r="H153" i="22"/>
  <c r="H156" i="22"/>
  <c r="H158" i="22"/>
  <c r="H162" i="22"/>
  <c r="I10" i="22"/>
  <c r="H103" i="22"/>
  <c r="H98" i="22"/>
  <c r="H174" i="22"/>
  <c r="I174" i="22" s="1"/>
  <c r="I173" i="22" s="1"/>
  <c r="H56" i="22"/>
  <c r="I56" i="22" s="1"/>
  <c r="H59" i="22"/>
  <c r="H67" i="22"/>
  <c r="H72" i="22"/>
  <c r="H79" i="22"/>
  <c r="H82" i="22"/>
  <c r="I82" i="22" s="1"/>
  <c r="H89" i="22"/>
  <c r="H92" i="22"/>
  <c r="H95" i="22"/>
  <c r="H102" i="22"/>
  <c r="H113" i="22"/>
  <c r="H122" i="22"/>
  <c r="H126" i="22"/>
  <c r="H132" i="22"/>
  <c r="H139" i="22"/>
  <c r="H146" i="22"/>
  <c r="H150" i="22"/>
  <c r="H157" i="22"/>
  <c r="H163" i="22"/>
  <c r="H19" i="22"/>
  <c r="H22" i="22"/>
  <c r="H36" i="22"/>
  <c r="H45" i="22"/>
  <c r="H47" i="22"/>
  <c r="H53" i="22"/>
  <c r="H64" i="22"/>
  <c r="H70" i="22"/>
  <c r="I70" i="22" s="1"/>
  <c r="H96" i="22"/>
  <c r="H106" i="22"/>
  <c r="I106" i="22" s="1"/>
  <c r="H110" i="22"/>
  <c r="H114" i="22"/>
  <c r="H130" i="22"/>
  <c r="H136" i="22"/>
  <c r="H144" i="22"/>
  <c r="H147" i="22"/>
  <c r="H154" i="22"/>
  <c r="H161" i="22"/>
  <c r="H170" i="22"/>
  <c r="I170" i="22" s="1"/>
  <c r="F169" i="11"/>
  <c r="F170" i="11"/>
  <c r="G176" i="11"/>
  <c r="E176" i="11"/>
  <c r="D176" i="11"/>
  <c r="G90" i="11"/>
  <c r="E90" i="11"/>
  <c r="D90" i="11"/>
  <c r="G88" i="18"/>
  <c r="F90" i="22" s="1"/>
  <c r="G45" i="18"/>
  <c r="F45" i="22" s="1"/>
  <c r="G161" i="18"/>
  <c r="F146" i="22" s="1"/>
  <c r="G146" i="11"/>
  <c r="E146" i="11"/>
  <c r="D146" i="11"/>
  <c r="G139" i="11"/>
  <c r="E139" i="11"/>
  <c r="D139" i="11"/>
  <c r="G151" i="18"/>
  <c r="F139" i="22" s="1"/>
  <c r="F70" i="11"/>
  <c r="G70" i="11"/>
  <c r="E70" i="11"/>
  <c r="D70" i="11"/>
  <c r="F56" i="11"/>
  <c r="G54" i="18"/>
  <c r="G56" i="11"/>
  <c r="E56" i="11"/>
  <c r="D56" i="11"/>
  <c r="G45" i="11"/>
  <c r="E45" i="11"/>
  <c r="D45" i="11"/>
  <c r="G12" i="18"/>
  <c r="F20" i="22" s="1"/>
  <c r="G20" i="11"/>
  <c r="E20" i="11"/>
  <c r="D20" i="11"/>
  <c r="A4" i="12"/>
  <c r="H71" i="12"/>
  <c r="H72" i="12" s="1"/>
  <c r="H67" i="12"/>
  <c r="H68" i="12" s="1"/>
  <c r="H54" i="12"/>
  <c r="H55" i="12" s="1"/>
  <c r="H50" i="12"/>
  <c r="H49" i="12"/>
  <c r="H51" i="12" s="1"/>
  <c r="I45" i="22" l="1"/>
  <c r="I90" i="22"/>
  <c r="I81" i="22"/>
  <c r="I46" i="22"/>
  <c r="I80" i="22"/>
  <c r="I20" i="22"/>
  <c r="F55" i="22"/>
  <c r="I55" i="22" s="1"/>
  <c r="F51" i="22"/>
  <c r="F52" i="22" s="1"/>
  <c r="I52" i="22" s="1"/>
  <c r="I146" i="22"/>
  <c r="I75" i="22"/>
  <c r="I139" i="22"/>
  <c r="I171" i="22"/>
  <c r="I167" i="22" s="1"/>
  <c r="I176" i="22"/>
  <c r="I175" i="22" s="1"/>
  <c r="F146" i="11"/>
  <c r="F90" i="11"/>
  <c r="F20" i="11"/>
  <c r="F139" i="11"/>
  <c r="F45" i="11"/>
  <c r="G169" i="11"/>
  <c r="G170" i="11"/>
  <c r="G171" i="11"/>
  <c r="G168" i="11"/>
  <c r="E169" i="11"/>
  <c r="E170" i="11"/>
  <c r="E171" i="11"/>
  <c r="E168" i="11"/>
  <c r="D169" i="11"/>
  <c r="D170" i="11"/>
  <c r="D171" i="11"/>
  <c r="D168" i="11"/>
  <c r="G162" i="11"/>
  <c r="G163" i="11"/>
  <c r="G164" i="11"/>
  <c r="G166" i="11"/>
  <c r="G161" i="11"/>
  <c r="D166" i="11"/>
  <c r="D162" i="11"/>
  <c r="D163" i="11"/>
  <c r="D164" i="11"/>
  <c r="D161" i="11"/>
  <c r="E162" i="11"/>
  <c r="E163" i="11"/>
  <c r="E164" i="11"/>
  <c r="E166" i="11"/>
  <c r="E161" i="11"/>
  <c r="G169" i="18"/>
  <c r="G173" i="18"/>
  <c r="F156" i="22" s="1"/>
  <c r="I156" i="22" s="1"/>
  <c r="G154" i="11"/>
  <c r="G156" i="11"/>
  <c r="G157" i="11"/>
  <c r="G158" i="11"/>
  <c r="G153" i="11"/>
  <c r="E154" i="11"/>
  <c r="E156" i="11"/>
  <c r="E157" i="11"/>
  <c r="E158" i="11"/>
  <c r="E153" i="11"/>
  <c r="D158" i="11"/>
  <c r="D157" i="11"/>
  <c r="D156" i="11"/>
  <c r="D154" i="11"/>
  <c r="D153" i="11"/>
  <c r="G145" i="11"/>
  <c r="G147" i="11"/>
  <c r="G148" i="11"/>
  <c r="G150" i="11"/>
  <c r="G144" i="11"/>
  <c r="E145" i="11"/>
  <c r="E147" i="11"/>
  <c r="E148" i="11"/>
  <c r="E150" i="11"/>
  <c r="E144" i="11"/>
  <c r="D150" i="11"/>
  <c r="D145" i="11"/>
  <c r="D147" i="11"/>
  <c r="D148" i="11"/>
  <c r="D144" i="11"/>
  <c r="G141" i="11"/>
  <c r="E141" i="11"/>
  <c r="D141" i="11"/>
  <c r="D138" i="11"/>
  <c r="E135" i="11"/>
  <c r="G135" i="11"/>
  <c r="D135" i="11"/>
  <c r="G131" i="11"/>
  <c r="G132" i="11"/>
  <c r="G133" i="11"/>
  <c r="G134" i="11"/>
  <c r="G136" i="11"/>
  <c r="G137" i="11"/>
  <c r="G138" i="11"/>
  <c r="G130" i="11"/>
  <c r="E131" i="11"/>
  <c r="E132" i="11"/>
  <c r="E133" i="11"/>
  <c r="E134" i="11"/>
  <c r="E136" i="11"/>
  <c r="E137" i="11"/>
  <c r="E138" i="11"/>
  <c r="E130" i="11"/>
  <c r="D131" i="11"/>
  <c r="D132" i="11"/>
  <c r="D133" i="11"/>
  <c r="D134" i="11"/>
  <c r="D136" i="11"/>
  <c r="D137" i="11"/>
  <c r="D130" i="11"/>
  <c r="G127" i="11"/>
  <c r="G126" i="11"/>
  <c r="E127" i="11"/>
  <c r="E126" i="11"/>
  <c r="D127" i="11"/>
  <c r="D126" i="11"/>
  <c r="G137" i="18"/>
  <c r="F127" i="22" s="1"/>
  <c r="I127" i="22" s="1"/>
  <c r="G132" i="18"/>
  <c r="G120" i="11"/>
  <c r="G122" i="11"/>
  <c r="G123" i="11"/>
  <c r="G119" i="11"/>
  <c r="E120" i="11"/>
  <c r="E122" i="11"/>
  <c r="E123" i="11"/>
  <c r="E119" i="11"/>
  <c r="D123" i="11"/>
  <c r="D122" i="11"/>
  <c r="D120" i="11"/>
  <c r="D119" i="11"/>
  <c r="G114" i="11"/>
  <c r="G116" i="11"/>
  <c r="G113" i="11"/>
  <c r="E114" i="11"/>
  <c r="E116" i="11"/>
  <c r="E113" i="11"/>
  <c r="D116" i="11"/>
  <c r="D114" i="11"/>
  <c r="D113" i="11"/>
  <c r="G113" i="18"/>
  <c r="F110" i="22" s="1"/>
  <c r="I110" i="22" s="1"/>
  <c r="G110" i="11"/>
  <c r="G109" i="11"/>
  <c r="E110" i="11"/>
  <c r="E109" i="11"/>
  <c r="D110" i="11"/>
  <c r="D109" i="11"/>
  <c r="G105" i="18"/>
  <c r="F103" i="22" s="1"/>
  <c r="I103" i="22" s="1"/>
  <c r="G102" i="11"/>
  <c r="G103" i="11"/>
  <c r="G105" i="11"/>
  <c r="G106" i="11"/>
  <c r="G101" i="11"/>
  <c r="E102" i="11"/>
  <c r="E103" i="11"/>
  <c r="E105" i="11"/>
  <c r="E106" i="11"/>
  <c r="E101" i="11"/>
  <c r="D106" i="11"/>
  <c r="D105" i="11"/>
  <c r="D102" i="11"/>
  <c r="D103" i="11"/>
  <c r="D101" i="11"/>
  <c r="G92" i="18"/>
  <c r="F92" i="22" s="1"/>
  <c r="I92" i="22" s="1"/>
  <c r="G96" i="18"/>
  <c r="F98" i="22" s="1"/>
  <c r="I98" i="22" s="1"/>
  <c r="G91" i="18"/>
  <c r="F88" i="22" s="1"/>
  <c r="I88" i="22" s="1"/>
  <c r="G88" i="11"/>
  <c r="G89" i="11"/>
  <c r="G91" i="11"/>
  <c r="G92" i="11"/>
  <c r="G94" i="11"/>
  <c r="G95" i="11"/>
  <c r="G96" i="11"/>
  <c r="G97" i="11"/>
  <c r="G98" i="11"/>
  <c r="G87" i="11"/>
  <c r="E88" i="11"/>
  <c r="E89" i="11"/>
  <c r="E91" i="11"/>
  <c r="E92" i="11"/>
  <c r="E94" i="11"/>
  <c r="E95" i="11"/>
  <c r="E96" i="11"/>
  <c r="E97" i="11"/>
  <c r="E98" i="11"/>
  <c r="E87" i="11"/>
  <c r="D95" i="11"/>
  <c r="D96" i="11"/>
  <c r="D97" i="11"/>
  <c r="D98" i="11"/>
  <c r="D94" i="11"/>
  <c r="D88" i="11"/>
  <c r="D89" i="11"/>
  <c r="D91" i="11"/>
  <c r="D92" i="11"/>
  <c r="D87" i="11"/>
  <c r="G81" i="18"/>
  <c r="F81" i="22" s="1"/>
  <c r="G80" i="18"/>
  <c r="F80" i="22" s="1"/>
  <c r="G82" i="18"/>
  <c r="G83" i="18"/>
  <c r="F84" i="22" s="1"/>
  <c r="I84" i="22" s="1"/>
  <c r="G82" i="11"/>
  <c r="E82" i="11"/>
  <c r="D82" i="11"/>
  <c r="G79" i="18"/>
  <c r="F78" i="22" s="1"/>
  <c r="I78" i="22" s="1"/>
  <c r="E79" i="11"/>
  <c r="E80" i="11"/>
  <c r="E81" i="11"/>
  <c r="E84" i="11"/>
  <c r="E78" i="11"/>
  <c r="G79" i="11"/>
  <c r="G80" i="11"/>
  <c r="G81" i="11"/>
  <c r="G84" i="11"/>
  <c r="G78" i="11"/>
  <c r="D84" i="11"/>
  <c r="D79" i="11"/>
  <c r="D80" i="11"/>
  <c r="D81" i="11"/>
  <c r="D78" i="11"/>
  <c r="D36" i="19"/>
  <c r="G72" i="18"/>
  <c r="F75" i="22" s="1"/>
  <c r="G69" i="18"/>
  <c r="F73" i="22" s="1"/>
  <c r="I73" i="22" s="1"/>
  <c r="D75" i="11"/>
  <c r="E65" i="11"/>
  <c r="E66" i="11"/>
  <c r="E67" i="11"/>
  <c r="E68" i="11"/>
  <c r="E69" i="11"/>
  <c r="E71" i="11"/>
  <c r="E72" i="11"/>
  <c r="E73" i="11"/>
  <c r="E75" i="11"/>
  <c r="E64" i="11"/>
  <c r="G75" i="11"/>
  <c r="G65" i="11"/>
  <c r="G66" i="11"/>
  <c r="G67" i="11"/>
  <c r="G68" i="11"/>
  <c r="G69" i="11"/>
  <c r="G71" i="11"/>
  <c r="G72" i="11"/>
  <c r="G73" i="11"/>
  <c r="G64" i="11"/>
  <c r="D65" i="11"/>
  <c r="D66" i="11"/>
  <c r="D67" i="11"/>
  <c r="D68" i="11"/>
  <c r="D69" i="11"/>
  <c r="D71" i="11"/>
  <c r="D72" i="11"/>
  <c r="D73" i="11"/>
  <c r="D64" i="11"/>
  <c r="G61" i="11"/>
  <c r="G52" i="11"/>
  <c r="G53" i="11"/>
  <c r="G54" i="11"/>
  <c r="G55" i="11"/>
  <c r="G57" i="11"/>
  <c r="G58" i="11"/>
  <c r="G59" i="11"/>
  <c r="G51" i="11"/>
  <c r="E61" i="11"/>
  <c r="D61" i="11"/>
  <c r="E51" i="11"/>
  <c r="D51" i="11"/>
  <c r="E53" i="11"/>
  <c r="E54" i="11"/>
  <c r="E55" i="11"/>
  <c r="E57" i="11"/>
  <c r="E58" i="11"/>
  <c r="E59" i="11"/>
  <c r="E52" i="11"/>
  <c r="D53" i="11"/>
  <c r="D54" i="11"/>
  <c r="D55" i="11"/>
  <c r="D57" i="11"/>
  <c r="D58" i="11"/>
  <c r="D59" i="11"/>
  <c r="D52" i="11"/>
  <c r="G47" i="18"/>
  <c r="F46" i="22" s="1"/>
  <c r="F47" i="22" s="1"/>
  <c r="I47" i="22" s="1"/>
  <c r="E48" i="11"/>
  <c r="E43" i="11"/>
  <c r="E44" i="11"/>
  <c r="E46" i="11"/>
  <c r="E47" i="11"/>
  <c r="E42" i="11"/>
  <c r="D43" i="11"/>
  <c r="D44" i="11"/>
  <c r="D46" i="11"/>
  <c r="D47" i="11"/>
  <c r="D48" i="11"/>
  <c r="D42" i="11"/>
  <c r="G43" i="11"/>
  <c r="G44" i="11"/>
  <c r="G46" i="11"/>
  <c r="G47" i="11"/>
  <c r="G48" i="11"/>
  <c r="I51" i="22" l="1"/>
  <c r="F81" i="11"/>
  <c r="F110" i="11"/>
  <c r="F92" i="11"/>
  <c r="F156" i="11"/>
  <c r="F98" i="11"/>
  <c r="F46" i="11"/>
  <c r="F47" i="11" s="1"/>
  <c r="F78" i="11"/>
  <c r="F84" i="11"/>
  <c r="F103" i="11"/>
  <c r="F73" i="11"/>
  <c r="F80" i="11"/>
  <c r="F88" i="11"/>
  <c r="F127" i="11"/>
  <c r="F69" i="11"/>
  <c r="F75" i="11"/>
  <c r="F82" i="11"/>
  <c r="G30" i="18" l="1"/>
  <c r="F33" i="22" s="1"/>
  <c r="I33" i="22" s="1"/>
  <c r="D39" i="11"/>
  <c r="D38" i="11"/>
  <c r="D37" i="11"/>
  <c r="D36" i="11"/>
  <c r="D35" i="11"/>
  <c r="D33" i="11"/>
  <c r="D32" i="11"/>
  <c r="D31" i="11"/>
  <c r="G31" i="11"/>
  <c r="G32" i="11"/>
  <c r="G33" i="11"/>
  <c r="G35" i="11"/>
  <c r="G36" i="11"/>
  <c r="G37" i="11"/>
  <c r="G38" i="11"/>
  <c r="G39" i="11"/>
  <c r="E31" i="11"/>
  <c r="E32" i="11"/>
  <c r="E33" i="11"/>
  <c r="E35" i="11"/>
  <c r="E36" i="11"/>
  <c r="E37" i="11"/>
  <c r="E38" i="11"/>
  <c r="E39" i="11"/>
  <c r="G25" i="18"/>
  <c r="F28" i="22" s="1"/>
  <c r="I28" i="22" s="1"/>
  <c r="D28" i="11"/>
  <c r="D27" i="11"/>
  <c r="D25" i="11"/>
  <c r="E25" i="11"/>
  <c r="G25" i="11"/>
  <c r="F21" i="11"/>
  <c r="D19" i="11"/>
  <c r="D21" i="11"/>
  <c r="D22" i="11"/>
  <c r="D18" i="11"/>
  <c r="G35" i="18"/>
  <c r="F39" i="22" s="1"/>
  <c r="I39" i="22" s="1"/>
  <c r="G24" i="18"/>
  <c r="F27" i="22" s="1"/>
  <c r="I27" i="22" s="1"/>
  <c r="G14" i="18"/>
  <c r="F22" i="22" s="1"/>
  <c r="I22" i="22" s="1"/>
  <c r="G42" i="11"/>
  <c r="G27" i="11"/>
  <c r="G28" i="11"/>
  <c r="G18" i="11"/>
  <c r="G19" i="11"/>
  <c r="G21" i="11"/>
  <c r="G22" i="11"/>
  <c r="E18" i="11"/>
  <c r="E19" i="11"/>
  <c r="E21" i="11"/>
  <c r="E22" i="11"/>
  <c r="E27" i="11"/>
  <c r="E28" i="11"/>
  <c r="I7" i="11"/>
  <c r="I6" i="11"/>
  <c r="F39" i="11" l="1"/>
  <c r="F33" i="11"/>
  <c r="F22" i="11"/>
  <c r="F28" i="11"/>
  <c r="H146" i="11"/>
  <c r="I146" i="11" s="1"/>
  <c r="G34" i="19"/>
  <c r="H90" i="11"/>
  <c r="I90" i="11" s="1"/>
  <c r="H176" i="11"/>
  <c r="I176" i="11" s="1"/>
  <c r="H70" i="11"/>
  <c r="I70" i="11" s="1"/>
  <c r="H139" i="11"/>
  <c r="I139" i="11" s="1"/>
  <c r="H45" i="11"/>
  <c r="I45" i="11" s="1"/>
  <c r="H56" i="11"/>
  <c r="I56" i="11" s="1"/>
  <c r="G35" i="19"/>
  <c r="G33" i="19"/>
  <c r="H20" i="11"/>
  <c r="I20" i="11" s="1"/>
  <c r="H135" i="11"/>
  <c r="H148" i="11"/>
  <c r="H164" i="11"/>
  <c r="H157" i="11"/>
  <c r="H145" i="11"/>
  <c r="H171" i="11"/>
  <c r="I171" i="11" s="1"/>
  <c r="H170" i="11"/>
  <c r="H161" i="11"/>
  <c r="H158" i="11"/>
  <c r="H166" i="11"/>
  <c r="H153" i="11"/>
  <c r="H156" i="11"/>
  <c r="I156" i="11" s="1"/>
  <c r="H141" i="11"/>
  <c r="H154" i="11"/>
  <c r="H168" i="11"/>
  <c r="H163" i="11"/>
  <c r="H144" i="11"/>
  <c r="H162" i="11"/>
  <c r="H150" i="11"/>
  <c r="H169" i="11"/>
  <c r="I169" i="11" s="1"/>
  <c r="H147" i="11"/>
  <c r="H133" i="11"/>
  <c r="H137" i="11"/>
  <c r="H130" i="11"/>
  <c r="H131" i="11"/>
  <c r="H138" i="11"/>
  <c r="H132" i="11"/>
  <c r="H134" i="11"/>
  <c r="H136" i="11"/>
  <c r="H127" i="11"/>
  <c r="I127" i="11" s="1"/>
  <c r="H120" i="11"/>
  <c r="I120" i="11" s="1"/>
  <c r="H114" i="11"/>
  <c r="H123" i="11"/>
  <c r="I123" i="11" s="1"/>
  <c r="H113" i="11"/>
  <c r="H119" i="11"/>
  <c r="H126" i="11"/>
  <c r="H116" i="11"/>
  <c r="H122" i="11"/>
  <c r="H102" i="11"/>
  <c r="H95" i="11"/>
  <c r="H105" i="11"/>
  <c r="H109" i="11"/>
  <c r="H98" i="11"/>
  <c r="I98" i="11" s="1"/>
  <c r="H96" i="11"/>
  <c r="H103" i="11"/>
  <c r="I103" i="11" s="1"/>
  <c r="H94" i="11"/>
  <c r="H110" i="11"/>
  <c r="I110" i="11" s="1"/>
  <c r="H88" i="11"/>
  <c r="I88" i="11" s="1"/>
  <c r="H92" i="11"/>
  <c r="I92" i="11" s="1"/>
  <c r="H97" i="11"/>
  <c r="H106" i="11"/>
  <c r="I106" i="11" s="1"/>
  <c r="H82" i="11"/>
  <c r="I82" i="11" s="1"/>
  <c r="H91" i="11"/>
  <c r="H89" i="11"/>
  <c r="H87" i="11"/>
  <c r="H101" i="11"/>
  <c r="F27" i="11"/>
  <c r="H81" i="11"/>
  <c r="I81" i="11" s="1"/>
  <c r="H78" i="11"/>
  <c r="I78" i="11" s="1"/>
  <c r="H84" i="11"/>
  <c r="I84" i="11" s="1"/>
  <c r="H80" i="11"/>
  <c r="I80" i="11" s="1"/>
  <c r="H79" i="11"/>
  <c r="G32" i="19"/>
  <c r="G31" i="19"/>
  <c r="H71" i="11"/>
  <c r="H72" i="11"/>
  <c r="H68" i="11"/>
  <c r="H75" i="11"/>
  <c r="I75" i="11" s="1"/>
  <c r="H69" i="11"/>
  <c r="I69" i="11" s="1"/>
  <c r="H66" i="11"/>
  <c r="H65" i="11"/>
  <c r="H64" i="11"/>
  <c r="H67" i="11"/>
  <c r="H73" i="11"/>
  <c r="I73" i="11" s="1"/>
  <c r="H54" i="11"/>
  <c r="H52" i="11"/>
  <c r="H59" i="11"/>
  <c r="H51" i="11"/>
  <c r="H57" i="11"/>
  <c r="H61" i="11"/>
  <c r="H55" i="11"/>
  <c r="H53" i="11"/>
  <c r="H58" i="11"/>
  <c r="G12" i="19"/>
  <c r="H44" i="11"/>
  <c r="H48" i="11"/>
  <c r="H47" i="11"/>
  <c r="I47" i="11" s="1"/>
  <c r="H43" i="11"/>
  <c r="H46" i="11"/>
  <c r="I46" i="11" s="1"/>
  <c r="H39" i="11"/>
  <c r="H35" i="11"/>
  <c r="H33" i="11"/>
  <c r="H38" i="11"/>
  <c r="H37" i="11"/>
  <c r="H32" i="11"/>
  <c r="H25" i="11"/>
  <c r="H36" i="11"/>
  <c r="H31" i="11"/>
  <c r="G19" i="19"/>
  <c r="H19" i="11"/>
  <c r="H174" i="11"/>
  <c r="I174" i="11" s="1"/>
  <c r="G10" i="19"/>
  <c r="G15" i="19"/>
  <c r="H22" i="11"/>
  <c r="H18" i="11"/>
  <c r="G27" i="19"/>
  <c r="G11" i="19"/>
  <c r="H28" i="11"/>
  <c r="G23" i="19"/>
  <c r="H21" i="11"/>
  <c r="I21" i="11" s="1"/>
  <c r="G30" i="19"/>
  <c r="G26" i="19"/>
  <c r="G22" i="19"/>
  <c r="G18" i="19"/>
  <c r="G14" i="19"/>
  <c r="G8" i="19"/>
  <c r="G29" i="19"/>
  <c r="G25" i="19"/>
  <c r="G21" i="19"/>
  <c r="G17" i="19"/>
  <c r="G13" i="19"/>
  <c r="G9" i="19"/>
  <c r="H27" i="11"/>
  <c r="H42" i="11"/>
  <c r="G28" i="19"/>
  <c r="G24" i="19"/>
  <c r="G20" i="19"/>
  <c r="G16" i="19"/>
  <c r="D18" i="20" l="1"/>
  <c r="I175" i="11"/>
  <c r="I172" i="11" s="1"/>
  <c r="I39" i="11"/>
  <c r="I22" i="11"/>
  <c r="I28" i="11"/>
  <c r="I33" i="11"/>
  <c r="E16" i="20"/>
  <c r="E18" i="20"/>
  <c r="I27" i="11"/>
  <c r="C18" i="20" l="1"/>
  <c r="H18" i="20" s="1"/>
  <c r="E17" i="20" l="1"/>
  <c r="D17" i="20"/>
  <c r="G59" i="18"/>
  <c r="F61" i="22" s="1"/>
  <c r="I61" i="22" s="1"/>
  <c r="G95" i="18"/>
  <c r="F94" i="22" s="1"/>
  <c r="F96" i="22" l="1"/>
  <c r="I96" i="22" s="1"/>
  <c r="F95" i="22"/>
  <c r="I95" i="22" s="1"/>
  <c r="I94" i="22"/>
  <c r="F94" i="11"/>
  <c r="F61" i="11"/>
  <c r="I61" i="11" s="1"/>
  <c r="F96" i="11" l="1"/>
  <c r="I96" i="11" s="1"/>
  <c r="F95" i="11"/>
  <c r="I95" i="11" s="1"/>
  <c r="I94" i="11"/>
  <c r="G34" i="18"/>
  <c r="F38" i="22" s="1"/>
  <c r="I38" i="22" s="1"/>
  <c r="C34" i="18"/>
  <c r="G33" i="18"/>
  <c r="F35" i="22" s="1"/>
  <c r="F37" i="22" l="1"/>
  <c r="I37" i="22" s="1"/>
  <c r="F36" i="22"/>
  <c r="I36" i="22" s="1"/>
  <c r="I35" i="22"/>
  <c r="F38" i="11"/>
  <c r="I38" i="11" s="1"/>
  <c r="F35" i="11"/>
  <c r="F36" i="11" l="1"/>
  <c r="I36" i="11" s="1"/>
  <c r="F37" i="11"/>
  <c r="I37" i="11" s="1"/>
  <c r="I35" i="11"/>
  <c r="G21" i="18"/>
  <c r="F25" i="22" s="1"/>
  <c r="I25" i="22" s="1"/>
  <c r="I23" i="22" s="1"/>
  <c r="G183" i="18"/>
  <c r="F166" i="22" s="1"/>
  <c r="I166" i="22" s="1"/>
  <c r="G180" i="18"/>
  <c r="F162" i="22" s="1"/>
  <c r="I162" i="22" s="1"/>
  <c r="G179" i="18"/>
  <c r="F161" i="22" s="1"/>
  <c r="I161" i="22" s="1"/>
  <c r="G178" i="18"/>
  <c r="F164" i="22" s="1"/>
  <c r="I164" i="22" s="1"/>
  <c r="G177" i="18"/>
  <c r="G176" i="18"/>
  <c r="F163" i="22" s="1"/>
  <c r="I163" i="22" s="1"/>
  <c r="G172" i="18"/>
  <c r="F158" i="22" s="1"/>
  <c r="I158" i="22" s="1"/>
  <c r="G171" i="18"/>
  <c r="F157" i="22" s="1"/>
  <c r="I157" i="22" s="1"/>
  <c r="G168" i="18"/>
  <c r="G167" i="18"/>
  <c r="F153" i="22" s="1"/>
  <c r="I153" i="22" s="1"/>
  <c r="G163" i="18"/>
  <c r="F150" i="22" s="1"/>
  <c r="I150" i="22" s="1"/>
  <c r="G160" i="18"/>
  <c r="G159" i="18"/>
  <c r="F147" i="22" s="1"/>
  <c r="I147" i="22" s="1"/>
  <c r="G158" i="18"/>
  <c r="F145" i="22" s="1"/>
  <c r="I145" i="22" s="1"/>
  <c r="G157" i="18"/>
  <c r="F144" i="22" s="1"/>
  <c r="I144" i="22" s="1"/>
  <c r="G153" i="18"/>
  <c r="F141" i="22" s="1"/>
  <c r="I141" i="22" s="1"/>
  <c r="G149" i="18"/>
  <c r="F137" i="22" s="1"/>
  <c r="G148" i="18"/>
  <c r="F135" i="22" s="1"/>
  <c r="I135" i="22" s="1"/>
  <c r="D147" i="18"/>
  <c r="G147" i="18" s="1"/>
  <c r="F136" i="22" s="1"/>
  <c r="I136" i="22" s="1"/>
  <c r="G146" i="18"/>
  <c r="E145" i="18"/>
  <c r="D145" i="18"/>
  <c r="E144" i="18"/>
  <c r="D144" i="18"/>
  <c r="G136" i="18"/>
  <c r="D135" i="18"/>
  <c r="G135" i="18" s="1"/>
  <c r="F126" i="22" s="1"/>
  <c r="I126" i="22" s="1"/>
  <c r="I124" i="22" s="1"/>
  <c r="G131" i="18"/>
  <c r="F122" i="22" s="1"/>
  <c r="I122" i="22" s="1"/>
  <c r="G128" i="18"/>
  <c r="F119" i="22" s="1"/>
  <c r="I119" i="22" s="1"/>
  <c r="G127" i="18"/>
  <c r="F116" i="11"/>
  <c r="I116" i="11" s="1"/>
  <c r="D120" i="18"/>
  <c r="G120" i="18" s="1"/>
  <c r="F114" i="22" s="1"/>
  <c r="I114" i="22" s="1"/>
  <c r="E119" i="18"/>
  <c r="G119" i="18" s="1"/>
  <c r="F113" i="22" s="1"/>
  <c r="I113" i="22" s="1"/>
  <c r="D112" i="18"/>
  <c r="G112" i="18" s="1"/>
  <c r="F109" i="22" s="1"/>
  <c r="I109" i="22" s="1"/>
  <c r="I107" i="22" s="1"/>
  <c r="G108" i="18"/>
  <c r="F105" i="22" s="1"/>
  <c r="I105" i="22" s="1"/>
  <c r="G104" i="18"/>
  <c r="F102" i="22" s="1"/>
  <c r="I102" i="22" s="1"/>
  <c r="D103" i="18"/>
  <c r="G103" i="18" s="1"/>
  <c r="F101" i="22" s="1"/>
  <c r="I101" i="22" s="1"/>
  <c r="G94" i="18"/>
  <c r="F97" i="22" s="1"/>
  <c r="I97" i="22" s="1"/>
  <c r="G90" i="18"/>
  <c r="F87" i="22" s="1"/>
  <c r="I87" i="22" s="1"/>
  <c r="G89" i="18"/>
  <c r="F91" i="22" s="1"/>
  <c r="I91" i="22" s="1"/>
  <c r="G87" i="18"/>
  <c r="F89" i="22" s="1"/>
  <c r="I89" i="22" s="1"/>
  <c r="G77" i="18"/>
  <c r="F79" i="22" s="1"/>
  <c r="I79" i="22" s="1"/>
  <c r="I76" i="22" s="1"/>
  <c r="G73" i="18"/>
  <c r="G68" i="18"/>
  <c r="F72" i="22" s="1"/>
  <c r="I72" i="22" s="1"/>
  <c r="G67" i="18"/>
  <c r="F71" i="22" s="1"/>
  <c r="I71" i="22" s="1"/>
  <c r="G66" i="18"/>
  <c r="G64" i="18"/>
  <c r="F66" i="22" s="1"/>
  <c r="G63" i="18"/>
  <c r="F64" i="22" s="1"/>
  <c r="G56" i="18"/>
  <c r="G55" i="18"/>
  <c r="F57" i="22" s="1"/>
  <c r="G53" i="18"/>
  <c r="F53" i="22" s="1"/>
  <c r="G46" i="18"/>
  <c r="F48" i="22" s="1"/>
  <c r="I48" i="22" s="1"/>
  <c r="G44" i="18"/>
  <c r="G43" i="18"/>
  <c r="F44" i="22" s="1"/>
  <c r="I44" i="22" s="1"/>
  <c r="G42" i="18"/>
  <c r="G41" i="18"/>
  <c r="F42" i="22" s="1"/>
  <c r="I42" i="22" s="1"/>
  <c r="G40" i="18"/>
  <c r="G39" i="18"/>
  <c r="G32" i="18"/>
  <c r="G29" i="18"/>
  <c r="F32" i="22" s="1"/>
  <c r="I32" i="22" s="1"/>
  <c r="G28" i="18"/>
  <c r="F31" i="22" s="1"/>
  <c r="I31" i="22" s="1"/>
  <c r="I29" i="22" s="1"/>
  <c r="G17" i="18"/>
  <c r="G15" i="18"/>
  <c r="G11" i="18"/>
  <c r="G10" i="18"/>
  <c r="O30" i="16"/>
  <c r="C29" i="16"/>
  <c r="C32" i="16" s="1"/>
  <c r="C24" i="16"/>
  <c r="C20" i="16"/>
  <c r="B7" i="16"/>
  <c r="F48" i="15"/>
  <c r="E48" i="15"/>
  <c r="D48" i="15"/>
  <c r="C48" i="15"/>
  <c r="F44" i="15"/>
  <c r="E44" i="15"/>
  <c r="D44" i="15"/>
  <c r="C44" i="15"/>
  <c r="F37" i="15"/>
  <c r="E37" i="15"/>
  <c r="D37" i="15"/>
  <c r="C37" i="15"/>
  <c r="F25" i="15"/>
  <c r="E25" i="15"/>
  <c r="D25" i="15"/>
  <c r="C25" i="15"/>
  <c r="C50" i="15" l="1"/>
  <c r="D50" i="15"/>
  <c r="F50" i="15"/>
  <c r="E50" i="15"/>
  <c r="C39" i="16"/>
  <c r="F138" i="22"/>
  <c r="I138" i="22" s="1"/>
  <c r="I137" i="22"/>
  <c r="I117" i="22"/>
  <c r="I40" i="22"/>
  <c r="I85" i="22"/>
  <c r="F54" i="22"/>
  <c r="I54" i="22" s="1"/>
  <c r="I53" i="22"/>
  <c r="I49" i="22" s="1"/>
  <c r="F58" i="22"/>
  <c r="I58" i="22" s="1"/>
  <c r="I57" i="22"/>
  <c r="F19" i="22"/>
  <c r="I19" i="22" s="1"/>
  <c r="F18" i="22"/>
  <c r="I18" i="22" s="1"/>
  <c r="I16" i="22" s="1"/>
  <c r="I99" i="22"/>
  <c r="F65" i="22"/>
  <c r="I65" i="22" s="1"/>
  <c r="I64" i="22"/>
  <c r="F68" i="22"/>
  <c r="I68" i="22" s="1"/>
  <c r="F67" i="22"/>
  <c r="I67" i="22" s="1"/>
  <c r="I66" i="22"/>
  <c r="I159" i="22"/>
  <c r="F59" i="11"/>
  <c r="I59" i="11" s="1"/>
  <c r="F59" i="22"/>
  <c r="I59" i="22" s="1"/>
  <c r="F148" i="22"/>
  <c r="I148" i="22" s="1"/>
  <c r="I142" i="22" s="1"/>
  <c r="F154" i="22"/>
  <c r="I154" i="22" s="1"/>
  <c r="I151" i="22" s="1"/>
  <c r="F43" i="22"/>
  <c r="I43" i="22" s="1"/>
  <c r="I111" i="22"/>
  <c r="F162" i="11"/>
  <c r="I162" i="11" s="1"/>
  <c r="F109" i="11"/>
  <c r="I109" i="11" s="1"/>
  <c r="I107" i="11" s="1"/>
  <c r="F137" i="11"/>
  <c r="F138" i="11" s="1"/>
  <c r="I138" i="11" s="1"/>
  <c r="F71" i="11"/>
  <c r="I71" i="11" s="1"/>
  <c r="F105" i="11"/>
  <c r="I105" i="11" s="1"/>
  <c r="F153" i="11"/>
  <c r="I153" i="11" s="1"/>
  <c r="F97" i="11"/>
  <c r="I97" i="11" s="1"/>
  <c r="F147" i="11"/>
  <c r="I147" i="11" s="1"/>
  <c r="F166" i="11"/>
  <c r="I166" i="11" s="1"/>
  <c r="F126" i="11"/>
  <c r="I126" i="11" s="1"/>
  <c r="I124" i="11" s="1"/>
  <c r="F135" i="11"/>
  <c r="I135" i="11" s="1"/>
  <c r="F163" i="11"/>
  <c r="I163" i="11" s="1"/>
  <c r="F101" i="11"/>
  <c r="I101" i="11" s="1"/>
  <c r="F113" i="11"/>
  <c r="I113" i="11" s="1"/>
  <c r="F119" i="11"/>
  <c r="I119" i="11" s="1"/>
  <c r="F141" i="11"/>
  <c r="I141" i="11" s="1"/>
  <c r="F154" i="11"/>
  <c r="I154" i="11" s="1"/>
  <c r="F148" i="11"/>
  <c r="I148" i="11" s="1"/>
  <c r="F157" i="11"/>
  <c r="I157" i="11" s="1"/>
  <c r="F164" i="11"/>
  <c r="I164" i="11" s="1"/>
  <c r="F145" i="11"/>
  <c r="I145" i="11" s="1"/>
  <c r="F102" i="11"/>
  <c r="I102" i="11" s="1"/>
  <c r="F114" i="11"/>
  <c r="I114" i="11" s="1"/>
  <c r="F122" i="11"/>
  <c r="I122" i="11" s="1"/>
  <c r="F136" i="11"/>
  <c r="I136" i="11" s="1"/>
  <c r="F144" i="11"/>
  <c r="I144" i="11" s="1"/>
  <c r="F150" i="11"/>
  <c r="I150" i="11" s="1"/>
  <c r="F158" i="11"/>
  <c r="I158" i="11" s="1"/>
  <c r="F161" i="11"/>
  <c r="I161" i="11" s="1"/>
  <c r="F91" i="11"/>
  <c r="I91" i="11" s="1"/>
  <c r="F89" i="11"/>
  <c r="I89" i="11" s="1"/>
  <c r="F87" i="11"/>
  <c r="I87" i="11" s="1"/>
  <c r="F79" i="11"/>
  <c r="I79" i="11" s="1"/>
  <c r="I76" i="11" s="1"/>
  <c r="F43" i="11"/>
  <c r="I43" i="11" s="1"/>
  <c r="F44" i="11"/>
  <c r="I44" i="11" s="1"/>
  <c r="F66" i="11"/>
  <c r="F25" i="11"/>
  <c r="I25" i="11" s="1"/>
  <c r="I23" i="11" s="1"/>
  <c r="F55" i="11"/>
  <c r="I55" i="11" s="1"/>
  <c r="F51" i="11"/>
  <c r="F19" i="11"/>
  <c r="I19" i="11" s="1"/>
  <c r="F18" i="11"/>
  <c r="I18" i="11" s="1"/>
  <c r="F31" i="11"/>
  <c r="I31" i="11" s="1"/>
  <c r="F57" i="11"/>
  <c r="F32" i="11"/>
  <c r="I32" i="11" s="1"/>
  <c r="F42" i="11"/>
  <c r="I42" i="11" s="1"/>
  <c r="F48" i="11"/>
  <c r="I48" i="11" s="1"/>
  <c r="F53" i="11"/>
  <c r="F64" i="11"/>
  <c r="F72" i="11"/>
  <c r="I72" i="11" s="1"/>
  <c r="G144" i="18"/>
  <c r="D150" i="18"/>
  <c r="G150" i="18" s="1"/>
  <c r="G145" i="18"/>
  <c r="F133" i="22" s="1"/>
  <c r="E43" i="12"/>
  <c r="H40" i="12"/>
  <c r="H39" i="12"/>
  <c r="H38" i="12"/>
  <c r="H37" i="12"/>
  <c r="H36" i="12"/>
  <c r="H35" i="12"/>
  <c r="H34" i="12"/>
  <c r="H33" i="12"/>
  <c r="H32" i="12"/>
  <c r="H31" i="12"/>
  <c r="E26" i="12"/>
  <c r="H23" i="12"/>
  <c r="H22" i="12"/>
  <c r="H21" i="12"/>
  <c r="E16" i="12"/>
  <c r="H12" i="12"/>
  <c r="H11" i="12"/>
  <c r="H7" i="12"/>
  <c r="G7" i="12"/>
  <c r="G5" i="12"/>
  <c r="F134" i="22" l="1"/>
  <c r="I134" i="22" s="1"/>
  <c r="I133" i="22"/>
  <c r="F130" i="22"/>
  <c r="F132" i="22"/>
  <c r="I132" i="22" s="1"/>
  <c r="I62" i="22"/>
  <c r="I137" i="11"/>
  <c r="I142" i="11"/>
  <c r="I159" i="11"/>
  <c r="I151" i="11"/>
  <c r="I117" i="11"/>
  <c r="I85" i="11"/>
  <c r="I111" i="11"/>
  <c r="I29" i="11"/>
  <c r="I99" i="11"/>
  <c r="I40" i="11"/>
  <c r="I16" i="11"/>
  <c r="G42" i="12"/>
  <c r="H56" i="12"/>
  <c r="H57" i="12" s="1"/>
  <c r="H69" i="12"/>
  <c r="H70" i="12" s="1"/>
  <c r="H52" i="12"/>
  <c r="H53" i="12" s="1"/>
  <c r="H73" i="12"/>
  <c r="H74" i="12" s="1"/>
  <c r="F130" i="11"/>
  <c r="F132" i="11"/>
  <c r="I132" i="11" s="1"/>
  <c r="F133" i="11"/>
  <c r="F58" i="11"/>
  <c r="I58" i="11" s="1"/>
  <c r="I57" i="11"/>
  <c r="F65" i="11"/>
  <c r="I65" i="11" s="1"/>
  <c r="I64" i="11"/>
  <c r="F54" i="11"/>
  <c r="I54" i="11" s="1"/>
  <c r="I53" i="11"/>
  <c r="F52" i="11"/>
  <c r="I52" i="11" s="1"/>
  <c r="I51" i="11"/>
  <c r="F68" i="11"/>
  <c r="I68" i="11" s="1"/>
  <c r="F67" i="11"/>
  <c r="I67" i="11" s="1"/>
  <c r="I66" i="11"/>
  <c r="H41" i="12"/>
  <c r="G14" i="11" s="1"/>
  <c r="H14" i="11" s="1"/>
  <c r="I14" i="11" s="1"/>
  <c r="H13" i="12"/>
  <c r="H42" i="12"/>
  <c r="H43" i="12" s="1"/>
  <c r="H24" i="12"/>
  <c r="G25" i="12"/>
  <c r="E15" i="12"/>
  <c r="F131" i="22" l="1"/>
  <c r="I131" i="22" s="1"/>
  <c r="I130" i="22"/>
  <c r="D14" i="20"/>
  <c r="I62" i="11"/>
  <c r="I49" i="11"/>
  <c r="G11" i="11"/>
  <c r="H11" i="11" s="1"/>
  <c r="I11" i="11" s="1"/>
  <c r="H14" i="12"/>
  <c r="H62" i="12"/>
  <c r="H79" i="12"/>
  <c r="G13" i="11"/>
  <c r="H13" i="11" s="1"/>
  <c r="I13" i="11" s="1"/>
  <c r="G12" i="11"/>
  <c r="H12" i="11" s="1"/>
  <c r="I12" i="11" s="1"/>
  <c r="F134" i="11"/>
  <c r="I134" i="11" s="1"/>
  <c r="I133" i="11"/>
  <c r="F131" i="11"/>
  <c r="I131" i="11" s="1"/>
  <c r="I130" i="11"/>
  <c r="H15" i="12"/>
  <c r="H16" i="12" s="1"/>
  <c r="H25" i="12"/>
  <c r="H26" i="12" s="1"/>
  <c r="I128" i="22" l="1"/>
  <c r="I15" i="22" s="1"/>
  <c r="E14" i="20"/>
  <c r="D12" i="20"/>
  <c r="I128" i="11"/>
  <c r="F14" i="20" s="1"/>
  <c r="L11" i="11"/>
  <c r="L12" i="11" s="1"/>
  <c r="F12" i="20"/>
  <c r="E12" i="20"/>
  <c r="I10" i="11"/>
  <c r="C12" i="20" s="1"/>
  <c r="I15" i="11" l="1"/>
  <c r="C14" i="20" s="1"/>
  <c r="F13" i="20" s="1"/>
  <c r="E20" i="20"/>
  <c r="E26" i="20"/>
  <c r="F20" i="20"/>
  <c r="F26" i="20"/>
  <c r="H12" i="20"/>
  <c r="E11" i="20"/>
  <c r="F11" i="20"/>
  <c r="D11" i="20"/>
  <c r="D13" i="20" l="1"/>
  <c r="H14" i="20"/>
  <c r="E13" i="20"/>
  <c r="H11" i="20"/>
  <c r="I170" i="11"/>
  <c r="I168" i="11"/>
  <c r="H13" i="20" l="1"/>
  <c r="D16" i="20"/>
  <c r="I167" i="11"/>
  <c r="H177" i="11" s="1"/>
  <c r="D20" i="20" l="1"/>
  <c r="D22" i="20" s="1"/>
  <c r="E22" i="20" s="1"/>
  <c r="F22" i="20" s="1"/>
  <c r="D26" i="20"/>
  <c r="J21" i="11"/>
  <c r="C16" i="20"/>
  <c r="J44" i="11" l="1"/>
  <c r="J145" i="11"/>
  <c r="J172" i="11"/>
  <c r="J13" i="11"/>
  <c r="J176" i="11"/>
  <c r="J104" i="11"/>
  <c r="J107" i="11"/>
  <c r="J49" i="11"/>
  <c r="D15" i="20"/>
  <c r="C19" i="20"/>
  <c r="J91" i="11"/>
  <c r="J126" i="11"/>
  <c r="J67" i="11"/>
  <c r="J39" i="11"/>
  <c r="J42" i="11"/>
  <c r="J157" i="11"/>
  <c r="J23" i="11"/>
  <c r="J110" i="11"/>
  <c r="J117" i="11"/>
  <c r="J50" i="11"/>
  <c r="J60" i="11"/>
  <c r="J133" i="11"/>
  <c r="J100" i="11"/>
  <c r="J140" i="11"/>
  <c r="J74" i="11"/>
  <c r="J150" i="11"/>
  <c r="J160" i="11"/>
  <c r="J94" i="11"/>
  <c r="J26" i="11"/>
  <c r="J167" i="11"/>
  <c r="J101" i="11"/>
  <c r="J33" i="11"/>
  <c r="J10" i="11"/>
  <c r="J53" i="11"/>
  <c r="J123" i="11"/>
  <c r="J57" i="11"/>
  <c r="J96" i="11"/>
  <c r="J143" i="11"/>
  <c r="J77" i="11"/>
  <c r="J154" i="11"/>
  <c r="J151" i="11"/>
  <c r="J84" i="11"/>
  <c r="J16" i="11"/>
  <c r="J14" i="11"/>
  <c r="J132" i="11"/>
  <c r="J87" i="11"/>
  <c r="J36" i="11"/>
  <c r="J169" i="11"/>
  <c r="J153" i="11"/>
  <c r="J135" i="11"/>
  <c r="J119" i="11"/>
  <c r="J103" i="11"/>
  <c r="J86" i="11"/>
  <c r="J69" i="11"/>
  <c r="J52" i="11"/>
  <c r="J35" i="11"/>
  <c r="J18" i="11"/>
  <c r="J136" i="11"/>
  <c r="J83" i="11"/>
  <c r="J40" i="11"/>
  <c r="J156" i="11"/>
  <c r="J138" i="11"/>
  <c r="J122" i="11"/>
  <c r="J106" i="11"/>
  <c r="J89" i="11"/>
  <c r="J73" i="11"/>
  <c r="J55" i="11"/>
  <c r="J38" i="11"/>
  <c r="J22" i="11"/>
  <c r="J141" i="11"/>
  <c r="J92" i="11"/>
  <c r="J32" i="11"/>
  <c r="J163" i="11"/>
  <c r="J147" i="11"/>
  <c r="J129" i="11"/>
  <c r="J113" i="11"/>
  <c r="J97" i="11"/>
  <c r="J80" i="11"/>
  <c r="J63" i="11"/>
  <c r="J46" i="11"/>
  <c r="J29" i="11"/>
  <c r="J70" i="11"/>
  <c r="J12" i="11"/>
  <c r="J170" i="11"/>
  <c r="J120" i="11"/>
  <c r="J79" i="11"/>
  <c r="J24" i="11"/>
  <c r="J165" i="11"/>
  <c r="J149" i="11"/>
  <c r="J131" i="11"/>
  <c r="J115" i="11"/>
  <c r="J99" i="11"/>
  <c r="J82" i="11"/>
  <c r="J65" i="11"/>
  <c r="J48" i="11"/>
  <c r="J31" i="11"/>
  <c r="J173" i="11"/>
  <c r="J124" i="11"/>
  <c r="J71" i="11"/>
  <c r="J28" i="11"/>
  <c r="J168" i="11"/>
  <c r="J152" i="11"/>
  <c r="J134" i="11"/>
  <c r="J118" i="11"/>
  <c r="J102" i="11"/>
  <c r="J85" i="11"/>
  <c r="J68" i="11"/>
  <c r="J51" i="11"/>
  <c r="J34" i="11"/>
  <c r="J17" i="11"/>
  <c r="J128" i="11"/>
  <c r="J75" i="11"/>
  <c r="J174" i="11"/>
  <c r="J159" i="11"/>
  <c r="J142" i="11"/>
  <c r="J125" i="11"/>
  <c r="J109" i="11"/>
  <c r="J93" i="11"/>
  <c r="J76" i="11"/>
  <c r="J59" i="11"/>
  <c r="J41" i="11"/>
  <c r="J25" i="11"/>
  <c r="J56" i="11"/>
  <c r="J11" i="11"/>
  <c r="J158" i="11"/>
  <c r="J112" i="11"/>
  <c r="J66" i="11"/>
  <c r="J15" i="11"/>
  <c r="J161" i="11"/>
  <c r="J144" i="11"/>
  <c r="J127" i="11"/>
  <c r="J111" i="11"/>
  <c r="J95" i="11"/>
  <c r="J78" i="11"/>
  <c r="J61" i="11"/>
  <c r="J43" i="11"/>
  <c r="J27" i="11"/>
  <c r="J162" i="11"/>
  <c r="J108" i="11"/>
  <c r="J58" i="11"/>
  <c r="J19" i="11"/>
  <c r="J164" i="11"/>
  <c r="J148" i="11"/>
  <c r="J130" i="11"/>
  <c r="J114" i="11"/>
  <c r="J98" i="11"/>
  <c r="J81" i="11"/>
  <c r="J64" i="11"/>
  <c r="J47" i="11"/>
  <c r="J30" i="11"/>
  <c r="J166" i="11"/>
  <c r="J116" i="11"/>
  <c r="J62" i="11"/>
  <c r="J171" i="11"/>
  <c r="J155" i="11"/>
  <c r="J137" i="11"/>
  <c r="J121" i="11"/>
  <c r="J105" i="11"/>
  <c r="J88" i="11"/>
  <c r="J72" i="11"/>
  <c r="J54" i="11"/>
  <c r="J37" i="11"/>
  <c r="F17" i="20"/>
  <c r="H17" i="20" s="1"/>
  <c r="F15" i="20"/>
  <c r="E15" i="20"/>
  <c r="H16" i="20"/>
  <c r="C17" i="20" l="1"/>
  <c r="D19" i="20"/>
  <c r="D21" i="20" s="1"/>
  <c r="C11" i="20"/>
  <c r="E19" i="20"/>
  <c r="C13" i="20"/>
  <c r="F19" i="20"/>
  <c r="D27" i="20"/>
  <c r="C15" i="20"/>
  <c r="H15" i="20"/>
  <c r="E27" i="20" l="1"/>
  <c r="D28" i="20"/>
  <c r="E21" i="20"/>
  <c r="F21" i="20" s="1"/>
  <c r="F27" i="20" l="1"/>
  <c r="E28" i="20"/>
  <c r="F28" i="20" l="1"/>
  <c r="I172" i="22"/>
  <c r="H177" i="22" l="1"/>
</calcChain>
</file>

<file path=xl/sharedStrings.xml><?xml version="1.0" encoding="utf-8"?>
<sst xmlns="http://schemas.openxmlformats.org/spreadsheetml/2006/main" count="1686" uniqueCount="670">
  <si>
    <t>TOTAL (R$)</t>
  </si>
  <si>
    <t>1.1</t>
  </si>
  <si>
    <t>CODEVASF</t>
  </si>
  <si>
    <t>CPU-01</t>
  </si>
  <si>
    <t>Administração local</t>
  </si>
  <si>
    <t>1.4</t>
  </si>
  <si>
    <t>CPU-03</t>
  </si>
  <si>
    <t>m²</t>
  </si>
  <si>
    <t>Código</t>
  </si>
  <si>
    <t>m³</t>
  </si>
  <si>
    <t>SINAPI</t>
  </si>
  <si>
    <t>m</t>
  </si>
  <si>
    <t xml:space="preserve">Limpeza de sarjeta e meio-fio </t>
  </si>
  <si>
    <t>REGULARIZAÇÃO DE SUPERFÍCIES COM MOTONIVELADORA. AF_11/2019</t>
  </si>
  <si>
    <t>SICRO</t>
  </si>
  <si>
    <t>Descrição do Serviço</t>
  </si>
  <si>
    <t xml:space="preserve">Raspagem e limpeza de terreno plano </t>
  </si>
  <si>
    <t>Total</t>
  </si>
  <si>
    <t>Enrocamento de pedra arrumada manualmente - pedra de mão produzida - confecção e assentamento</t>
  </si>
  <si>
    <t xml:space="preserve"> Desobstrução de bueiro</t>
  </si>
  <si>
    <t xml:space="preserve">Corte e remoção de árvores </t>
  </si>
  <si>
    <t>TOTAL</t>
  </si>
  <si>
    <t>4800412</t>
  </si>
  <si>
    <t>Remoção manual de vegetação daninha em frestas</t>
  </si>
  <si>
    <t xml:space="preserve">Roçada com roçadeira costal </t>
  </si>
  <si>
    <t xml:space="preserve">Limpeza de bueiro </t>
  </si>
  <si>
    <t>Recomposição de erosão em corte ou aterro com material de jazida</t>
  </si>
  <si>
    <t>4915774</t>
  </si>
  <si>
    <t>Escavação e carga de material de jazida com trator de 127 kW e carregadeira de 3,4 m³</t>
  </si>
  <si>
    <t>Transporte com caminhão basculante de 10 m³ - rodovia em leito natural</t>
  </si>
  <si>
    <t>tkm</t>
  </si>
  <si>
    <t>4016008</t>
  </si>
  <si>
    <t>5914359</t>
  </si>
  <si>
    <t xml:space="preserve">1106057 </t>
  </si>
  <si>
    <t>Concreto magro - confecção em betoneira e lançamento manual - areia e brita comerciais</t>
  </si>
  <si>
    <t>Serviço</t>
  </si>
  <si>
    <t>Aterro erosão borda canal drenagem da bacia de captação</t>
  </si>
  <si>
    <t xml:space="preserve">Escavação mecânica de vala para drenagem com valetadeira em material de 1ª categoria </t>
  </si>
  <si>
    <t xml:space="preserve">4915708 </t>
  </si>
  <si>
    <t>Do ponto (10°31'24,363" ; 42°34'6,359") ao (10°31'28,109" ; 42°33'20,665")</t>
  </si>
  <si>
    <t xml:space="preserve">Escavação manual em material de 1ª categoria na profundidade de 1 a 2 m </t>
  </si>
  <si>
    <t xml:space="preserve">Escavação manual em material de 1ª categoria na profundidade de até 1 m </t>
  </si>
  <si>
    <t>Escavação manual em material de 2ª categoria na profundidade de até 1 m</t>
  </si>
  <si>
    <t>ha</t>
  </si>
  <si>
    <t>5(1)</t>
  </si>
  <si>
    <t>5(2)</t>
  </si>
  <si>
    <t xml:space="preserve">LIMPEZA CANALETAS </t>
  </si>
  <si>
    <t xml:space="preserve">Demolição mecânica de alvenaria com carregadeira de pneus </t>
  </si>
  <si>
    <t xml:space="preserve">                          Companhia  de  Desenvolvimento  dos  Vales  do  São  Francisco e do Parnaíba</t>
  </si>
  <si>
    <t>2ª SUPERINTENDÊNCIA REGIONAL</t>
  </si>
  <si>
    <t>ENCARGOS SOCIAIS (%):</t>
  </si>
  <si>
    <t>BASE:</t>
  </si>
  <si>
    <t>BDI (%):</t>
  </si>
  <si>
    <t>Item</t>
  </si>
  <si>
    <t>Banco</t>
  </si>
  <si>
    <t>Descrição</t>
  </si>
  <si>
    <t>Und</t>
  </si>
  <si>
    <t>Quant.</t>
  </si>
  <si>
    <t>Valor Unit com BDI</t>
  </si>
  <si>
    <t xml:space="preserve"> CPU 001 </t>
  </si>
  <si>
    <t>Próprio</t>
  </si>
  <si>
    <t>1.2</t>
  </si>
  <si>
    <t xml:space="preserve"> CPU 002</t>
  </si>
  <si>
    <t>Mobilização de obra</t>
  </si>
  <si>
    <t>1.3</t>
  </si>
  <si>
    <t>Desmobilização de obra</t>
  </si>
  <si>
    <t xml:space="preserve"> CPU 003</t>
  </si>
  <si>
    <t>SICRO3</t>
  </si>
  <si>
    <t>2.1</t>
  </si>
  <si>
    <t>2.2</t>
  </si>
  <si>
    <t>3.1</t>
  </si>
  <si>
    <t>3.1.1</t>
  </si>
  <si>
    <t>3.2</t>
  </si>
  <si>
    <t>Serviços de Manutenção e Restauração do Sistema de Drenagem do Perímetro Irrigado do Baixio de Irecê, no município de Xique-Xique, na área de abrangência 2ª Superintendência Regional da CODEVASF, no estado da Bahia.</t>
  </si>
  <si>
    <t>recuperação (concreto) a cima da ala bueiro</t>
  </si>
  <si>
    <t>Canaleta meia cana D = 0,30 m assente sobre lastro de areia - areia e brita comerciais - fornecimento e instalação</t>
  </si>
  <si>
    <t>4.1.1</t>
  </si>
  <si>
    <t>4.1.2</t>
  </si>
  <si>
    <t>3.2.1</t>
  </si>
  <si>
    <t>3.1.2</t>
  </si>
  <si>
    <t>4.1.3</t>
  </si>
  <si>
    <t>sinapi 06/2023; sicro 04/2023; orse 07/2023</t>
  </si>
  <si>
    <t>BDI %:</t>
  </si>
  <si>
    <t>Encargos Sociais:</t>
  </si>
  <si>
    <t>Horista</t>
  </si>
  <si>
    <t>Mensalista</t>
  </si>
  <si>
    <t>ADMINISTRAÇÃO LOCAL</t>
  </si>
  <si>
    <t>%</t>
  </si>
  <si>
    <t>COEF.</t>
  </si>
  <si>
    <t>PRECO UNITÁRIO (R$)</t>
  </si>
  <si>
    <t>INSUMO</t>
  </si>
  <si>
    <t>P9812</t>
  </si>
  <si>
    <t>Engenheiro</t>
  </si>
  <si>
    <t>mês</t>
  </si>
  <si>
    <t>P9875</t>
  </si>
  <si>
    <t>Encarregado de turma</t>
  </si>
  <si>
    <t>M3</t>
  </si>
  <si>
    <t>E9093</t>
  </si>
  <si>
    <t>Veículo leve - 53 kW (sem motorista)</t>
  </si>
  <si>
    <t>H</t>
  </si>
  <si>
    <t>ADM. LOCAL :</t>
  </si>
  <si>
    <t>PREÇO TOTAL :</t>
  </si>
  <si>
    <t>CPU-02</t>
  </si>
  <si>
    <t>Propria</t>
  </si>
  <si>
    <t>MOBILIZAÇÃO E DESMOBILIZAÇÃO</t>
  </si>
  <si>
    <t>T X KM</t>
  </si>
  <si>
    <t>COMPOSIÇÃO</t>
  </si>
  <si>
    <t>CAMINHÃO TOCO, PBT 14.300 KG, CARGA ÚTIL MÁX. 9.710 KG, DIST. ENTRE EIXOS 3,56 M, POTÊNCIA 185 CV, INCLUSIVE CARROCERIA FIXA ABERTA DE MADEIRA P/ TR ANSPORTE GERAL DE CARGA SECA, DIMEN. APROX. 2,50 X 6,50 X 0,50 M - MATERIAIS NA OPERAÇÃO.</t>
  </si>
  <si>
    <t>CAMINHÃO BASCULANTE 10 M3, TRUCADO CABINE SIMPLES, PESO BRUTO TOTAL 23.000 KG, CARGA ÚTIL MÁXIMA 15.935 KG, DISTÂNCIA ENTRE EIXOS 4,80 M, POTÊNCIA 230 CV INCLUSIVE CAÇAMBA METÁLICA - CHP DIURNO.</t>
  </si>
  <si>
    <t>CHP</t>
  </si>
  <si>
    <t>Sub total:</t>
  </si>
  <si>
    <t xml:space="preserve">BDI </t>
  </si>
  <si>
    <t>PREÇO UNITÁRIO :</t>
  </si>
  <si>
    <t>PLACA DE OBRA EM CHAPA DE ACO GALVANIZADO</t>
  </si>
  <si>
    <t>M2</t>
  </si>
  <si>
    <t>PREGO 18X30.</t>
  </si>
  <si>
    <t>kg</t>
  </si>
  <si>
    <t>PECA DE MADEIRA NATIVA / REGIONAL 7,5 X 7,5CM (3X3) NAO APARELHADA</t>
  </si>
  <si>
    <t>PECA DE MADEIRA DE LEI *2,5 X 7,5* CM (1" X 3"), NÃO APARELHADA</t>
  </si>
  <si>
    <t>PLACA DE OBRA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</si>
  <si>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</si>
  <si>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</si>
  <si>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</si>
  <si>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</si>
  <si>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h</t>
  </si>
  <si>
    <t>P9808</t>
  </si>
  <si>
    <t>Carpinteiro</t>
  </si>
  <si>
    <t>P9824</t>
  </si>
  <si>
    <t>Servente</t>
  </si>
  <si>
    <t>UNIDADE</t>
  </si>
  <si>
    <t>CÓDIGO</t>
  </si>
  <si>
    <t>QUANTIDADE</t>
  </si>
  <si>
    <t>PREÇO UNITÁRIO</t>
  </si>
  <si>
    <t>PREÇO TOTAL</t>
  </si>
  <si>
    <t>ENGENHEIRO AGRÔNOMO/AGRÍCOLA PLENO COM ENCARGOS COMPLEMENTARES</t>
  </si>
  <si>
    <t>AJUDANTE ESPECIALIZADO COM ENCARGOS COMPLEMENTARES</t>
  </si>
  <si>
    <t>PÁ CARREGADEIRA SOBRE RODAS, POTÊNCIA 197 HP, CAPACIDADE DA CAÇAMBA 2,5 A 3,5 M³, PESO OPERACIONAL 18338 KG - CHP DIURNO. AF_06/2014</t>
  </si>
  <si>
    <t>REGULARIZAÇÃO DE SUPERFÍCIES DE TERRA COM MOTONIVELADORA - READEQUAÇÃO DE ESTRADAS DE TERRA</t>
  </si>
  <si>
    <t>Barraginha</t>
  </si>
  <si>
    <t>5.1</t>
  </si>
  <si>
    <t>5.1.1</t>
  </si>
  <si>
    <t>5.1.2</t>
  </si>
  <si>
    <t>5.1.3</t>
  </si>
  <si>
    <t>5.2</t>
  </si>
  <si>
    <t xml:space="preserve">Limpeza de vala de drenagem </t>
  </si>
  <si>
    <t>Pedra argamassada com cimento e areia 1:3 - areia e pedra de mão comercial - fornecimento e assentamento</t>
  </si>
  <si>
    <t>Demolição de concreto simples com martelete</t>
  </si>
  <si>
    <t>Demolição de parede interna</t>
  </si>
  <si>
    <t>NOME DA CONCORRENTE:</t>
  </si>
  <si>
    <t>EDITAL:</t>
  </si>
  <si>
    <t>FOLHA:</t>
  </si>
  <si>
    <t>DETALHAMENTO DOS ENCARGOS SOCIAIS (%)</t>
  </si>
  <si>
    <t>COM DESONERAÇÃO</t>
  </si>
  <si>
    <t>NÃO DESONERADO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</si>
  <si>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</si>
  <si>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</si>
  <si>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</si>
  <si>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</si>
  <si>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</si>
  <si>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</si>
  <si>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</si>
  <si>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</si>
  <si>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</si>
  <si>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</si>
  <si>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</si>
  <si>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</si>
  <si>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</si>
  <si>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</si>
  <si>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</si>
  <si>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</si>
  <si>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</si>
  <si>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</si>
  <si>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</si>
  <si>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</si>
  <si>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</si>
  <si>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</si>
  <si>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</si>
  <si>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</si>
  <si>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</si>
  <si>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</si>
  <si>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</si>
  <si>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</si>
  <si>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</si>
  <si>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</si>
  <si>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</si>
  <si>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</si>
  <si>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</si>
  <si>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</si>
  <si>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</si>
  <si>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</si>
  <si>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</si>
  <si>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</si>
  <si>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</si>
  <si>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</si>
  <si>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</si>
  <si>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</si>
  <si>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</si>
  <si>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</si>
  <si>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</si>
  <si>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</si>
  <si>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</si>
  <si>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</si>
  <si>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</si>
  <si>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</si>
  <si>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</si>
  <si>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</si>
  <si>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</si>
  <si>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</si>
  <si>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</si>
  <si>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</si>
  <si>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</si>
  <si>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</si>
  <si>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</si>
  <si>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</si>
  <si>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</si>
  <si>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</si>
  <si>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</si>
  <si>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</si>
  <si>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</si>
  <si>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 xml:space="preserve">PLANILHA DE DETALHAMENTO DO BDI </t>
  </si>
  <si>
    <t>OBRA:</t>
  </si>
  <si>
    <t>MEMÓRIA DE CALCULO DO BDI  DOS SERVIÇOS - NÃO DESONERADO</t>
  </si>
  <si>
    <t>Obras rodoviárias</t>
  </si>
  <si>
    <t xml:space="preserve">BDI APLICADO NA OBRA </t>
  </si>
  <si>
    <t>FAIXAS DE ADMISSIBILIDADE DE ACORDO COM O ACORDÃO N. 2622/2013 DO TCU</t>
  </si>
  <si>
    <t>ITEM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</si>
  <si>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</si>
  <si>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</si>
  <si>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</si>
  <si>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</si>
  <si>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</si>
  <si>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</si>
  <si>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</si>
  <si>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Seguro e Garantia</t>
  </si>
  <si>
    <t>Riscos e Imprevistos</t>
  </si>
  <si>
    <t>Despesas Financeiras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</si>
  <si>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</si>
  <si>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</si>
  <si>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</si>
  <si>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</si>
  <si>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</si>
  <si>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</si>
  <si>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</si>
  <si>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</si>
  <si>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</si>
  <si>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C-1</t>
  </si>
  <si>
    <t>PIS / PASEP</t>
  </si>
  <si>
    <t>CÁLCULO DO ISS</t>
  </si>
  <si>
    <t>C-2</t>
  </si>
  <si>
    <t>COFINS</t>
  </si>
  <si>
    <t>ALÍQUOTA MUNICIPAL (%)</t>
  </si>
  <si>
    <t>% DE MÃO DE OBRA</t>
  </si>
  <si>
    <t>ALÍQUOTA FINAL (%)</t>
  </si>
  <si>
    <t>C-3</t>
  </si>
  <si>
    <t>ISS</t>
  </si>
  <si>
    <t>C-4</t>
  </si>
  <si>
    <t>Contribuição Previdenciária sobre o Lucro Bruto</t>
  </si>
  <si>
    <t>Total do Grupo C =</t>
  </si>
  <si>
    <t>Fórmula Para Cálculo do B.D.I</t>
  </si>
  <si>
    <t>BDI =(((1+A4+A1+A2)*(1+A3)*(1+B1))/(1-C))-1</t>
  </si>
  <si>
    <t>Bonificação Sobre Despesas indiretas (B.D.I) =</t>
  </si>
  <si>
    <t>4.1</t>
  </si>
  <si>
    <t>4.2</t>
  </si>
  <si>
    <t>SERVIÇOS</t>
  </si>
  <si>
    <t>UN</t>
  </si>
  <si>
    <t>DIMENSÕES(M)</t>
  </si>
  <si>
    <t>L</t>
  </si>
  <si>
    <t>e</t>
  </si>
  <si>
    <t>BUEIRO - 01</t>
  </si>
  <si>
    <t>GALERIA SIMPLES 1,0 X1,0</t>
  </si>
  <si>
    <t>MONTANTE</t>
  </si>
  <si>
    <t>1.1.1</t>
  </si>
  <si>
    <t>CONCRETO 20MPA - PROTEÇÃO SUPERIOR DA ALA</t>
  </si>
  <si>
    <t>1.1.2</t>
  </si>
  <si>
    <t>LIMPEZA EM CANALETAS (SEDIMENTOS- AREIA)-BUEIRO AUXILIAR</t>
  </si>
  <si>
    <t>JUSANTE</t>
  </si>
  <si>
    <t>1.2.1</t>
  </si>
  <si>
    <t>PODA DE ARVORES NA PARTE SUPERIOR DO BUEIRO</t>
  </si>
  <si>
    <t>1.2.2</t>
  </si>
  <si>
    <t>LIMPEZA E DESOBSTRUÇÃO DA SAIDA DOS DRENOS DO CANAL (2 DRENOS)</t>
  </si>
  <si>
    <t>1.2.3</t>
  </si>
  <si>
    <t>DRENOS APÓS O BUEIRO 1 JUSANTE</t>
  </si>
  <si>
    <t>1.2.4</t>
  </si>
  <si>
    <t>LIMPEZA E DESOBSTRUÇÃO DA SAIDA DOS DRENOS DO CANAL</t>
  </si>
  <si>
    <t>BUEIRO - 02</t>
  </si>
  <si>
    <t>BUEIRO DUPLO - MANILHA 1,0m</t>
  </si>
  <si>
    <t>LIMPEZA DE MATERIAL SEDIMENTADO (1 E 2ª CLASSE)- ENTRADA DA BACIA</t>
  </si>
  <si>
    <t>LIMPEZA DA PARTE SUPERIOR DA ALA - COM RETIRADA DE RESTOS VEGETAIS</t>
  </si>
  <si>
    <t>BUEIRO - 03</t>
  </si>
  <si>
    <t>BUEIRO DUPLO - MANILHA 1,5m</t>
  </si>
  <si>
    <t>SINAPI 07/2023</t>
  </si>
  <si>
    <t>N/DESON</t>
  </si>
  <si>
    <t>DESON</t>
  </si>
  <si>
    <t>DEMOLIÇÃO DE PAREDE EM ALVENARIA (INTERIOR DA MANILHA) - 2 LADOS</t>
  </si>
  <si>
    <t>97622/SINAPI</t>
  </si>
  <si>
    <t>DEMOLIÇÃO DE ALVENARIA DE BLOCO FURADO, DE FORMA MANUAL, SEM REAPROVEITAMENTO. AF_12/2017</t>
  </si>
  <si>
    <t>LIMPEZA DE SAIDA DE BUEIRO - RESTOS VEGETAIS</t>
  </si>
  <si>
    <t>BUEIRO - 04</t>
  </si>
  <si>
    <t>GALERIA DUPLA 2,5m X 2,5m</t>
  </si>
  <si>
    <t>COMPLEMENTO DE PEDRA ARGAMASSADA EM ABA ESQUERDA</t>
  </si>
  <si>
    <t>DEMOLIÇÃO DE PARTE DA ABA DIREITA (ALVENARIA DE PEDRA)</t>
  </si>
  <si>
    <t>4.1.4</t>
  </si>
  <si>
    <t>4.1.5</t>
  </si>
  <si>
    <t xml:space="preserve">CONCRETO APLICADO NA BORDA SUPERIOR DAS ALAS- PROTEÇÃO </t>
  </si>
  <si>
    <t>4.1.6</t>
  </si>
  <si>
    <t>4.1.7</t>
  </si>
  <si>
    <t>LIMPEZA MECANICA DE BACIA DE ENTRADA</t>
  </si>
  <si>
    <t>SEM SERVIÇOS A REALIZAR</t>
  </si>
  <si>
    <t>BUEIRO - 05</t>
  </si>
  <si>
    <t>GALERIA DUPLA 2,0m X 2,0m</t>
  </si>
  <si>
    <t>RECOMPOSIÇÃO DE TALUDE ESQUERDO (AREA DO COMPLEMENTO DA ABA)</t>
  </si>
  <si>
    <t>COMPLEMENTO DA ABA ESQUERDA EM ALVENARIA DE PEDRA</t>
  </si>
  <si>
    <t>ENRROCAMENTO DO TALUDE (ESQUERO E DIREITO)</t>
  </si>
  <si>
    <t>5.1.4</t>
  </si>
  <si>
    <t>LIMPEZA DA ENTRADA DAS GALERIAS</t>
  </si>
  <si>
    <t>BUEIRO - 06</t>
  </si>
  <si>
    <t>6.1</t>
  </si>
  <si>
    <t>6.1.1</t>
  </si>
  <si>
    <t>DEMOLIÇÃO DE ALVENARIA DE PEDRA - ABA ESQUERDA</t>
  </si>
  <si>
    <t>6.1.2</t>
  </si>
  <si>
    <t>RECOMPOSIÇÃO DE TALUDE ESQUERDO (ABA)</t>
  </si>
  <si>
    <t>6.1.3</t>
  </si>
  <si>
    <t xml:space="preserve">CONSTRUÇÃO DA ABA ESQUERDA EM ALVENARIA DE PEDRA </t>
  </si>
  <si>
    <t>6.1.4</t>
  </si>
  <si>
    <t>RECUPERAÇÃO DE BURACOS NA ALA (ARGAMSSA) CONCRETO MAGRO</t>
  </si>
  <si>
    <t>6.1.5</t>
  </si>
  <si>
    <t>RECOMPOSIÇÃO DE TALUDE DIREITO SUPERIOR (ABA) - BURACO</t>
  </si>
  <si>
    <t>6.1.6</t>
  </si>
  <si>
    <t>LIMPEZA MECANIZADA DE BACIA ENTRADA</t>
  </si>
  <si>
    <t>6.2</t>
  </si>
  <si>
    <t>6.2.1</t>
  </si>
  <si>
    <t>LIMPEZA DE PARTE SUPERIOR ABA ESQUEDA - RESTOS VEGETAIS</t>
  </si>
  <si>
    <t>6.2.2</t>
  </si>
  <si>
    <t>DESOBSTRUÇÃO DE SAÍDA DE DRENO SIMPLES</t>
  </si>
  <si>
    <t>BUEIRO - 07</t>
  </si>
  <si>
    <t>BUEIRO DUPLO (1,2m)</t>
  </si>
  <si>
    <t>7.1</t>
  </si>
  <si>
    <t>7.1.1</t>
  </si>
  <si>
    <t>7.1.2</t>
  </si>
  <si>
    <t>LIMPEZA (ENTRADA - BACIA)</t>
  </si>
  <si>
    <t>7.2</t>
  </si>
  <si>
    <t>SEM SERVIÇOS</t>
  </si>
  <si>
    <t>BUEIRO - 08</t>
  </si>
  <si>
    <t>GALERIA SIMPLES (1,5 x 1,50)</t>
  </si>
  <si>
    <t>8.1</t>
  </si>
  <si>
    <t>8.1.1</t>
  </si>
  <si>
    <t>CONCRETO - PARTE SUPERIOR (PROTEÇÃO IMPERM.)</t>
  </si>
  <si>
    <t>8.1.2</t>
  </si>
  <si>
    <t>PREENCHIMENTO DE BURACOS NA ABA DIR.  (CONCRETO CICLOPICO)</t>
  </si>
  <si>
    <t>8.1.3</t>
  </si>
  <si>
    <t>LIMPEZA DE RESTOS VEGETAIS</t>
  </si>
  <si>
    <t>8.2</t>
  </si>
  <si>
    <t>8.2.1</t>
  </si>
  <si>
    <t>RETIRADA DE RESTOS VEGETAIS - PARTE SUPERIOR ABA DIUREITA</t>
  </si>
  <si>
    <t>BUEIRO - 09</t>
  </si>
  <si>
    <t>BUEIRO TRIPLO (MANILHA 1,20)</t>
  </si>
  <si>
    <t>9.1</t>
  </si>
  <si>
    <t>9.1.1</t>
  </si>
  <si>
    <t>9.1.2</t>
  </si>
  <si>
    <t>LIMPEZA DE RESTOS VEGETAIS (BOCA DOS BUEIROS) - MANUAL</t>
  </si>
  <si>
    <t>9.1.3</t>
  </si>
  <si>
    <t>9.2</t>
  </si>
  <si>
    <t>9.2.1</t>
  </si>
  <si>
    <t>LIMPEZA DE SAÍDA DE BUEIRO - RESTOS VEGETAIS</t>
  </si>
  <si>
    <t>BUEIRO - 10</t>
  </si>
  <si>
    <t>BUEIRO DUPLO (MANILHA 1,00)</t>
  </si>
  <si>
    <t>10.1</t>
  </si>
  <si>
    <t>10.1.1</t>
  </si>
  <si>
    <t>10.2</t>
  </si>
  <si>
    <t>BUEIRO - 11</t>
  </si>
  <si>
    <t>GALERIA SIMPLES (1,3X1,3)</t>
  </si>
  <si>
    <t>11.1</t>
  </si>
  <si>
    <t>11.1.1</t>
  </si>
  <si>
    <t>LIMPEZA DE DESOBSTRUÇÃO DE GALERIA (MATERIA SEDIMENTAR)</t>
  </si>
  <si>
    <t>11.1.2</t>
  </si>
  <si>
    <t>LIMPEZA BACIA DE ENTRADA (LIMPEZA MECANICA)</t>
  </si>
  <si>
    <t>11.2</t>
  </si>
  <si>
    <t>11.2.1</t>
  </si>
  <si>
    <t>LIMPEZA DE SAÍDA DE BUEIRO - COMPLEMENTO DA MONTANTE</t>
  </si>
  <si>
    <t>BUEIRO - 12</t>
  </si>
  <si>
    <t>BUEIRO TRIPLO (MANILHA 1,0)</t>
  </si>
  <si>
    <t>12.1</t>
  </si>
  <si>
    <t>12.1.1</t>
  </si>
  <si>
    <t>LIMPEZA DE BORDA SUPERIOR - MATERIAL VEGETAL</t>
  </si>
  <si>
    <t>12.1.2</t>
  </si>
  <si>
    <t>LIMPEZA DA BACIA DE ENTRADA - ROÇAGEM</t>
  </si>
  <si>
    <t>12.2</t>
  </si>
  <si>
    <t>12.2.1</t>
  </si>
  <si>
    <t>LIMPEZA DE SAÍDA - MATERIAL SEDIMENTAR</t>
  </si>
  <si>
    <t>BUEIRO - 13</t>
  </si>
  <si>
    <t>13.1</t>
  </si>
  <si>
    <t>13.1.1</t>
  </si>
  <si>
    <t>LIMPEZA BOCA DA GALERIA - MATERIAL VEGETAL</t>
  </si>
  <si>
    <t>13.1.2</t>
  </si>
  <si>
    <t>CONCRETO - MURETA DE PROTEÇÃO</t>
  </si>
  <si>
    <t>13.1.3</t>
  </si>
  <si>
    <t>FORMA</t>
  </si>
  <si>
    <t>13.2</t>
  </si>
  <si>
    <t>BUEIRO - 14</t>
  </si>
  <si>
    <t>GALERIA TRIPLA (2,5X2,5)</t>
  </si>
  <si>
    <t>14.1</t>
  </si>
  <si>
    <t>14.1.1</t>
  </si>
  <si>
    <t>RECUPERAÇÃO DE TALUDE (2 AREAS)</t>
  </si>
  <si>
    <t>14.1.2</t>
  </si>
  <si>
    <t>RECUPERAÇÃO DE ENROCAMENTO (2 AREAS)</t>
  </si>
  <si>
    <t>14.1.3</t>
  </si>
  <si>
    <t>CONCRETO CICLÓPICO (BURACO SUPERIOR ABA DIREITA)</t>
  </si>
  <si>
    <t>14.1.4</t>
  </si>
  <si>
    <t>PROTEÇÃO DA BORDA SUPERIOR (CONCRETO)</t>
  </si>
  <si>
    <t>14.1.5</t>
  </si>
  <si>
    <t>14.1.6</t>
  </si>
  <si>
    <t>CONCRETO CICLÓPICO</t>
  </si>
  <si>
    <t>14.1.7</t>
  </si>
  <si>
    <t>LIMPEZA- BOTA FORA</t>
  </si>
  <si>
    <t>14.2</t>
  </si>
  <si>
    <t>14.2.1</t>
  </si>
  <si>
    <t>CONCRETO - PEDAÇO SUPERIOR DA ALA DIREITA</t>
  </si>
  <si>
    <t>BUEIRO - 15</t>
  </si>
  <si>
    <t>GALERIA DUPLA (2,5X2,5)</t>
  </si>
  <si>
    <t>15.1</t>
  </si>
  <si>
    <t>15.1.1</t>
  </si>
  <si>
    <t>15.1.2</t>
  </si>
  <si>
    <t>15.1.3</t>
  </si>
  <si>
    <t>TRATAMENTO DE TRINCAS (2,5cm) (04114/ORSE)</t>
  </si>
  <si>
    <t>M</t>
  </si>
  <si>
    <t>Custo Unit.</t>
  </si>
  <si>
    <t>15.1.4</t>
  </si>
  <si>
    <t>RETIRADA DE ARBUSTOS (SUPERIOR DA ABA)</t>
  </si>
  <si>
    <t>04114/ORSE</t>
  </si>
  <si>
    <t>Tratamento de fissuras com argamassa de cimento e areia traço 1:3 com aditivo bianco ou similar (com abertura de até 3mm) Rev 01 09/2022</t>
  </si>
  <si>
    <t>15.2</t>
  </si>
  <si>
    <t>15.2.1</t>
  </si>
  <si>
    <t>RETIRADA DE ARVORE DA ABA DIREITA</t>
  </si>
  <si>
    <t>UM</t>
  </si>
  <si>
    <t>BUEIRO - 16</t>
  </si>
  <si>
    <t>16.1</t>
  </si>
  <si>
    <t>16.1.1</t>
  </si>
  <si>
    <t>16.1.2</t>
  </si>
  <si>
    <t>LIMPEZA MECÂNICA DE MATERIAL SEDIMENTAR (1ª E 2ª CAT) - DRENO LOTE</t>
  </si>
  <si>
    <t>16.2</t>
  </si>
  <si>
    <t>16.2.1</t>
  </si>
  <si>
    <t>TRATAMENTO DE TRINCAS (2,5cm) (04114/ORSE) (ESQUERDA)</t>
  </si>
  <si>
    <t>16.2.2</t>
  </si>
  <si>
    <t>BUEIRO - 17</t>
  </si>
  <si>
    <t>17.1</t>
  </si>
  <si>
    <t>17.1.1</t>
  </si>
  <si>
    <t>17.1.2</t>
  </si>
  <si>
    <t>17.1.3</t>
  </si>
  <si>
    <t>17.1.4</t>
  </si>
  <si>
    <t>LIMPEZA DE ENTRADA DA GALERIA (MATERIAL VEGETAL)</t>
  </si>
  <si>
    <t>17.1.7</t>
  </si>
  <si>
    <t>17.2</t>
  </si>
  <si>
    <t>17.2.1</t>
  </si>
  <si>
    <t>podar arbusto ao redor das alas</t>
  </si>
  <si>
    <t>3.2.2</t>
  </si>
  <si>
    <t xml:space="preserve"> = volume solo x 1,60 (densidade argila) x 2km (DMT)</t>
  </si>
  <si>
    <t>3.2.3</t>
  </si>
  <si>
    <t>3.2.4</t>
  </si>
  <si>
    <t>Retirar galhos da boca/bacia bueiro</t>
  </si>
  <si>
    <t>7.1.3</t>
  </si>
  <si>
    <t>ORSE</t>
  </si>
  <si>
    <t>TRATAMENTO DE TRINCAS (2,5cm)</t>
  </si>
  <si>
    <t>PREENCHIMENTO COM CONCRETO (BURACO ABA)</t>
  </si>
  <si>
    <t>Concreto ciclópico fck = 20 MPa - confecção em betoneira e lançamento manual - areia, brita e pedra de mão comerciais</t>
  </si>
  <si>
    <t>8.2.2</t>
  </si>
  <si>
    <t>ATERRO VOÇOROCA</t>
  </si>
  <si>
    <t>5.2.1</t>
  </si>
  <si>
    <t>Limpeza de bueiro - DESOBSTRUÇÃO DE GALERIA (MATERIAL SEDIMENTADO)</t>
  </si>
  <si>
    <t>2009619</t>
  </si>
  <si>
    <t xml:space="preserve">Alvenaria de blocos de concreto 19 x 19 x 39 cm com espessura de 20 cm - areia comercial </t>
  </si>
  <si>
    <t>DEMOLIÇÃO DE CONCRETO (PARTE INFERIO ABA )</t>
  </si>
  <si>
    <t>CONCRETO CICLÓPICO (BURACO SUPERIOR ABA DIREITA )</t>
  </si>
  <si>
    <t xml:space="preserve">TRATAMENTO DE TRINCAS (2,5cm) </t>
  </si>
  <si>
    <t>04114</t>
  </si>
  <si>
    <t>CODIGO</t>
  </si>
  <si>
    <t>REFERENCIA</t>
  </si>
  <si>
    <t>DESCRIÇÃO</t>
  </si>
  <si>
    <t>UND</t>
  </si>
  <si>
    <t>PREÇO UNIT/BDI</t>
  </si>
  <si>
    <t xml:space="preserve"> SICRO3: 04/2023; SINAPI: 06/23; ORSE: 06/23;</t>
  </si>
  <si>
    <r>
      <t>Local:</t>
    </r>
    <r>
      <rPr>
        <sz val="12"/>
        <color theme="1"/>
        <rFont val="Calibri"/>
        <family val="2"/>
        <scheme val="minor"/>
      </rPr>
      <t xml:space="preserve"> Baixio de Irecê, no município de Xique-Xique/BA.</t>
    </r>
  </si>
  <si>
    <t>Valor Unit</t>
  </si>
  <si>
    <t>MANUTENÇÃO DE BUEIROS E GALERIAS</t>
  </si>
  <si>
    <t>LIMPEZA DE MATERIAL SEDIMENTAR E BOTA FORA</t>
  </si>
  <si>
    <t>2.1.1</t>
  </si>
  <si>
    <t>2.1.2</t>
  </si>
  <si>
    <t>2.1.3</t>
  </si>
  <si>
    <t>2.1.4</t>
  </si>
  <si>
    <t>CORTE RASO E RECORTE DE ÁRVORE COM DIÂMETRO DE TRONCO MAIOR OU IGUAL A 0,20 M E MENOR QUE 0,40 M.AF_05/2018</t>
  </si>
  <si>
    <t>2.2.1</t>
  </si>
  <si>
    <t>2.2.2</t>
  </si>
  <si>
    <t>un</t>
  </si>
  <si>
    <t>REMOÇÃO DE ARBUSTOS</t>
  </si>
  <si>
    <t>GLOBAL</t>
  </si>
  <si>
    <t>M²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</si>
  <si>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</si>
  <si>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</si>
  <si>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</si>
  <si>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</si>
  <si>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</si>
  <si>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</si>
  <si>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</si>
  <si>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</si>
  <si>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</si>
  <si>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</si>
  <si>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</si>
  <si>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</si>
  <si>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</si>
  <si>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</si>
  <si>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</si>
  <si>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2.17.1</t>
  </si>
  <si>
    <t>2.17.2</t>
  </si>
  <si>
    <t>2.17.3</t>
  </si>
  <si>
    <t>2.17.4</t>
  </si>
  <si>
    <t>2.17.5</t>
  </si>
  <si>
    <t>2.16.1</t>
  </si>
  <si>
    <t>2.16.2</t>
  </si>
  <si>
    <t>2.16.3</t>
  </si>
  <si>
    <t>2.16.4</t>
  </si>
  <si>
    <t>2.16.5</t>
  </si>
  <si>
    <t>2.15.1</t>
  </si>
  <si>
    <t>2.15.4</t>
  </si>
  <si>
    <t>2.15.2</t>
  </si>
  <si>
    <t>2.15.3</t>
  </si>
  <si>
    <t>2.15.5</t>
  </si>
  <si>
    <t>2.14.1</t>
  </si>
  <si>
    <t>2.14.2</t>
  </si>
  <si>
    <t>2.14.3</t>
  </si>
  <si>
    <t>2.14.4</t>
  </si>
  <si>
    <t>2.14.5</t>
  </si>
  <si>
    <t>2.14.6</t>
  </si>
  <si>
    <t>2.14.7</t>
  </si>
  <si>
    <t>2.14.8</t>
  </si>
  <si>
    <t>2.14.9</t>
  </si>
  <si>
    <t>2.14.10</t>
  </si>
  <si>
    <t>2.13.1</t>
  </si>
  <si>
    <t>2.13.2</t>
  </si>
  <si>
    <t>2.12.1</t>
  </si>
  <si>
    <t>2.12.2</t>
  </si>
  <si>
    <t>2.12.3</t>
  </si>
  <si>
    <t>2.12.4</t>
  </si>
  <si>
    <t>2.11.1</t>
  </si>
  <si>
    <t>2.11.2</t>
  </si>
  <si>
    <t>2.11.3</t>
  </si>
  <si>
    <t>2.10.1</t>
  </si>
  <si>
    <t>2.10.2</t>
  </si>
  <si>
    <t>2.9.1</t>
  </si>
  <si>
    <t>2.9.2</t>
  </si>
  <si>
    <t>2.9.3</t>
  </si>
  <si>
    <t>2.9.4</t>
  </si>
  <si>
    <t>2.9.5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</si>
  <si>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</si>
  <si>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</si>
  <si>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</si>
  <si>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</si>
  <si>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</si>
  <si>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</si>
  <si>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</si>
  <si>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</si>
  <si>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</si>
  <si>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2.8.10</t>
  </si>
  <si>
    <t>2.7.1</t>
  </si>
  <si>
    <t>2.7.2</t>
  </si>
  <si>
    <t>2.7.3</t>
  </si>
  <si>
    <t>2.7.4</t>
  </si>
  <si>
    <t>2.7.5</t>
  </si>
  <si>
    <t>2.7.6</t>
  </si>
  <si>
    <t>2.6.1</t>
  </si>
  <si>
    <t>2.6.5</t>
  </si>
  <si>
    <t>2.6.4</t>
  </si>
  <si>
    <t>2.6.9</t>
  </si>
  <si>
    <t>2.6.2</t>
  </si>
  <si>
    <t>2.6.3</t>
  </si>
  <si>
    <t>2.6.6</t>
  </si>
  <si>
    <t>2.6.7</t>
  </si>
  <si>
    <t>2.6.8</t>
  </si>
  <si>
    <t>2.6.10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</si>
  <si>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</si>
  <si>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</si>
  <si>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</si>
  <si>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</si>
  <si>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</si>
  <si>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</si>
  <si>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</si>
  <si>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</si>
  <si>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</si>
  <si>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2.4.1</t>
  </si>
  <si>
    <t>2.4.2</t>
  </si>
  <si>
    <t>2.4.3</t>
  </si>
  <si>
    <t>2.4.4</t>
  </si>
  <si>
    <t>2.4.5</t>
  </si>
  <si>
    <t>2.4.6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</si>
  <si>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</si>
  <si>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</si>
  <si>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</si>
  <si>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</si>
  <si>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</si>
  <si>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</si>
  <si>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</si>
  <si>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</si>
  <si>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2.2.3</t>
  </si>
  <si>
    <t>3.3</t>
  </si>
  <si>
    <t>3.4</t>
  </si>
  <si>
    <t>TOTAL GERAL C/ BDI</t>
  </si>
  <si>
    <t>Nº</t>
  </si>
  <si>
    <t>EXECUÇÃO MECANIZADA DE BACIA DE CAPTAÇÃO DE ÁGUAS DE ENXURRADAS (BARRAGINHA) COM DIÂMETRO INTERNO DE 9,00 M, INCLUSO CANAL/MURUNDU DE CONDUÇÃO DE ENXURRADA DE 6,00 M</t>
  </si>
  <si>
    <t>MÃO DE OBRA</t>
  </si>
  <si>
    <t>Subtotal (Mão-de-obra):</t>
  </si>
  <si>
    <t>B.D.I. MO</t>
  </si>
  <si>
    <t>Total (MO com encargos e BDI):</t>
  </si>
  <si>
    <t>Subtotal (Serviços):</t>
  </si>
  <si>
    <t>B.D.I. Serviços</t>
  </si>
  <si>
    <t>Total (Serviços com B.D.I):</t>
  </si>
  <si>
    <t>Subtotal (MAT):</t>
  </si>
  <si>
    <t>B.D.I. Materiais</t>
  </si>
  <si>
    <t>Total (MAT com B.D.I):</t>
  </si>
  <si>
    <t>PREÇO UNITÁRIO TOTAL:</t>
  </si>
  <si>
    <t>KM</t>
  </si>
  <si>
    <t xml:space="preserve">SINAPI </t>
  </si>
  <si>
    <t>CPU 04</t>
  </si>
  <si>
    <t>PROPRIA</t>
  </si>
  <si>
    <t>MANUTENÇÃO E DESOBSTRUÇÃO DE SAÍDAS DE DRENOS INTERNOS DO CANAL</t>
  </si>
  <si>
    <t>CONSERVAÇÃO DE SOLOS</t>
  </si>
  <si>
    <t>CPU -04</t>
  </si>
  <si>
    <t>CPU - 06</t>
  </si>
  <si>
    <t>COMPANHIA DE DESENVOLVIMENTO DOS VALES DO SÃO FRANCISCO E DO PARNAÍBA</t>
  </si>
  <si>
    <t xml:space="preserve">              2ª SUPERINTENDÊNCIA REGIONAL - Bom Jesus da Lapa/BA.</t>
  </si>
  <si>
    <t>CRONOGRAMA FÍSICO-FINANCEIRO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</si>
  <si>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</si>
  <si>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</si>
  <si>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</si>
  <si>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</si>
  <si>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</si>
  <si>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</si>
  <si>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</si>
  <si>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</si>
  <si>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SERVIÇOS PRELIMINARES</t>
  </si>
  <si>
    <t>Fôrmas de compensado resinado 12 mm - uso geral - utilização de 1 vez - confecção, instalação e retirada</t>
  </si>
  <si>
    <t>FABRICAÇÃO, MONTAGEM E DESMONTAGEM DE FORMA PARA RADIER, PISO DE CONCRETO OU LAJE SOBRE SOLO, EM MADEIRA SERRADA, 4 UTILIZAÇÕES. AF_09/2021</t>
  </si>
  <si>
    <t>FORMAS</t>
  </si>
  <si>
    <t>6.1.7</t>
  </si>
  <si>
    <t>6.1.8</t>
  </si>
  <si>
    <t>5.1.5</t>
  </si>
  <si>
    <t>2.5.10</t>
  </si>
  <si>
    <t>2.1.5</t>
  </si>
  <si>
    <t>2.4.7</t>
  </si>
  <si>
    <t>2.6.11</t>
  </si>
  <si>
    <t>2.14.11</t>
  </si>
  <si>
    <t>Total para 3 meses:</t>
  </si>
  <si>
    <t>Total sub-item</t>
  </si>
  <si>
    <t>SUBTOTAL-ITEM</t>
  </si>
  <si>
    <t>comprimento x largura superior da ala x espessura do piso</t>
  </si>
  <si>
    <t>extensão x largura da canaleta x espessura da camada de sedimento</t>
  </si>
  <si>
    <t>(comprimento esquerdo + comprimento lado direito) x espessura do barrote</t>
  </si>
  <si>
    <t>quantidade de arbustos levantada</t>
  </si>
  <si>
    <t>largura da saída do dreno x extensão media x espessura da camada de sedimento</t>
  </si>
  <si>
    <t>largura da saída do dreno x extensão media x espessura da camada de sedimento (x 2)</t>
  </si>
  <si>
    <t>largura da bacia de transição do bueiro x comprimento de depósito de sedimentos x espessura da camada de sedimento</t>
  </si>
  <si>
    <t>Placa de obra em chapa galvanizada (3,00 x 2,00 m)</t>
  </si>
  <si>
    <t>MANUTENÇÃO DE DRENOS</t>
  </si>
  <si>
    <t>DRENOS</t>
  </si>
  <si>
    <t>4.2.1</t>
  </si>
  <si>
    <t>Limpeza de Sarjetas do Canal</t>
  </si>
  <si>
    <t>Aproximadamente do ponto (10°31'24,363" ; 42°34'6,359") ao (10°31'28,109" ; 42°33'20,665")</t>
  </si>
  <si>
    <t>Ministério da Integração e do Desenvolvimento Regional - MIDR</t>
  </si>
  <si>
    <t>COMPOSIÇÕES</t>
  </si>
  <si>
    <t>PLANILHA ORÇAMENTÁRIA (RESUMO)</t>
  </si>
  <si>
    <t>PLANILHA ORÇAMENTÁRIA (ORÇAMENTO SINTÉTICO)</t>
  </si>
  <si>
    <t xml:space="preserve">COMPOSIÇÃO PREÇOS - PRÓPRIO DA CODEVASF </t>
  </si>
  <si>
    <t>MEMÓRIA DE CÁLCULO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</si>
</sst>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2" formatCode="_-&quot;R$&quot;\ * #,##0_-;\-&quot;R$&quot;\ * #,##0_-;_-&quot;R$&quot;\ 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"/>
    <numFmt numFmtId="166" formatCode="#,##0.00\ ;&quot; (&quot;#,##0.00\);&quot; -&quot;#\ ;@\ "/>
    <numFmt numFmtId="167" formatCode="&quot;R$&quot;\ #,##0.00"/>
    <numFmt numFmtId="168" formatCode="0.000"/>
    <numFmt numFmtId="169" formatCode="_(* #,##0.00_);_(* \(#,##0.00\);_(* \-??_);_(@_)"/>
    <numFmt numFmtId="170" formatCode="&quot;R$&quot;#,##0.00_);[Red]\(&quot;R$&quot;#,##0.00\)"/>
    <numFmt numFmtId="171" formatCode="#,##0.0000000"/>
    <numFmt numFmtId="172" formatCode="#,##0.0000"/>
    <numFmt numFmtId="173" formatCode="0.0000"/>
    <numFmt numFmtId="174" formatCode="&quot;Cr$ &quot;#,##0.00_);[Red]&quot;(Cr$ &quot;#,##0.00\)"/>
    <numFmt numFmtId="175" formatCode="_-&quot;R$ &quot;* #,##0.00_-;&quot;-R$ &quot;* #,##0.00_-;_-&quot;R$ &quot;* \-??_-;_-@_-"/>
    <numFmt numFmtId="176" formatCode="_(&quot;R$ &quot;* #,##0.00_);_(&quot;R$ &quot;* \(#,##0.00\);_(&quot;R$ &quot;* \-??_);_(@_)"/>
    <numFmt numFmtId="177" formatCode="[$-416]#,##0.00_);[Red]\(#,##0.00\)"/>
    <numFmt numFmtId="178" formatCode="dd/mm/yy;@"/>
    <numFmt numFmtId="179" formatCode="_-* #,##0.00_-;\-* #,##0.00_-;_-* \-??_-;_-@_-"/>
    <numFmt numFmtId="180" formatCode="&quot;Cr$&quot;#,##0.00_);\(&quot;Cr$&quot;#,##0.00\)"/>
    <numFmt numFmtId="181" formatCode="_(&quot;Cr$&quot;* #,##0_);_(&quot;Cr$&quot;* \(#,##0\);_(&quot;Cr$&quot;* &quot;-&quot;_);_(@_)"/>
    <numFmt numFmtId="182" formatCode="&quot;R$&quot;\ #,##0.00_);[Red]\(&quot;R$&quot;\ #,##0.00\)"/>
    <numFmt numFmtId="183" formatCode="_([$€-2]* #,##0.00_);_([$€-2]* \(#,##0.00\);_([$€-2]* &quot;-&quot;??_)"/>
    <numFmt numFmtId="184" formatCode="\$#,##0\ ;\(\$#,##0\)"/>
    <numFmt numFmtId="185" formatCode="_(&quot;Cr$&quot;* #,##0.00_);_(&quot;Cr$&quot;* \(#,##0.00\);_(&quot;Cr$&quot;* &quot;-&quot;??_);_(@_)"/>
    <numFmt numFmtId="186" formatCode="%#,#00"/>
    <numFmt numFmtId="187" formatCode="#.##000"/>
    <numFmt numFmtId="188" formatCode="#."/>
    <numFmt numFmtId="189" formatCode=";;;"/>
    <numFmt numFmtId="190" formatCode="#.##0,"/>
    <numFmt numFmtId="191" formatCode="_(* #,##0.00_);_(* \(#,##0.00\);_(* &quot;-&quot;??_);_(@_)"/>
    <numFmt numFmtId="192" formatCode="0.00000"/>
  </numFmts>
  <fonts count="9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name val="Courier"/>
      <family val="3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5"/>
      <color indexed="56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1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sz val="11"/>
      <color indexed="62"/>
      <name val="Calibri"/>
      <family val="2"/>
    </font>
    <font>
      <sz val="1"/>
      <color indexed="18"/>
      <name val="Courier"/>
      <family val="3"/>
    </font>
    <font>
      <b/>
      <sz val="11"/>
      <color indexed="63"/>
      <name val="Calibri"/>
      <family val="2"/>
    </font>
    <font>
      <sz val="10"/>
      <name val="Mangal"/>
      <family val="2"/>
    </font>
    <font>
      <i/>
      <sz val="11"/>
      <color indexed="23"/>
      <name val="Calibri"/>
      <family val="2"/>
    </font>
    <font>
      <sz val="11"/>
      <color theme="1"/>
      <name val="Calibri"/>
      <family val="1"/>
      <scheme val="minor"/>
    </font>
    <font>
      <sz val="11"/>
      <color rgb="FFFA7D00"/>
      <name val="Calibri"/>
      <family val="1"/>
      <scheme val="minor"/>
    </font>
    <font>
      <b/>
      <sz val="11"/>
      <color theme="0"/>
      <name val="Calibri"/>
      <family val="1"/>
      <scheme val="minor"/>
    </font>
    <font>
      <b/>
      <sz val="11"/>
      <color rgb="FFFA7D00"/>
      <name val="Calibri"/>
      <family val="1"/>
      <scheme val="minor"/>
    </font>
    <font>
      <sz val="11"/>
      <color rgb="FFFF0000"/>
      <name val="Calibri"/>
      <family val="1"/>
      <scheme val="minor"/>
    </font>
    <font>
      <b/>
      <sz val="18"/>
      <color theme="3"/>
      <name val="Calibri Light"/>
      <family val="2"/>
      <scheme val="major"/>
    </font>
    <font>
      <i/>
      <sz val="11"/>
      <color rgb="FF7F7F7F"/>
      <name val="Calibri"/>
      <family val="1"/>
      <scheme val="minor"/>
    </font>
    <font>
      <b/>
      <sz val="15"/>
      <color theme="3"/>
      <name val="Calibri"/>
      <family val="1"/>
      <scheme val="minor"/>
    </font>
    <font>
      <sz val="11"/>
      <color theme="0"/>
      <name val="Calibri"/>
      <family val="1"/>
      <scheme val="minor"/>
    </font>
    <font>
      <b/>
      <sz val="13"/>
      <color theme="3"/>
      <name val="Calibri"/>
      <family val="1"/>
      <scheme val="minor"/>
    </font>
    <font>
      <b/>
      <sz val="11"/>
      <color theme="3"/>
      <name val="Calibri"/>
      <family val="1"/>
      <scheme val="minor"/>
    </font>
    <font>
      <sz val="11"/>
      <color rgb="FF3F3F76"/>
      <name val="Calibri"/>
      <family val="1"/>
      <scheme val="minor"/>
    </font>
    <font>
      <b/>
      <sz val="11"/>
      <color rgb="FF3F3F3F"/>
      <name val="Calibri"/>
      <family val="1"/>
      <scheme val="minor"/>
    </font>
    <font>
      <b/>
      <sz val="11"/>
      <color theme="1"/>
      <name val="Calibri"/>
      <family val="1"/>
      <scheme val="minor"/>
    </font>
    <font>
      <sz val="11"/>
      <color rgb="FF006100"/>
      <name val="Calibri"/>
      <family val="1"/>
      <scheme val="minor"/>
    </font>
    <font>
      <sz val="11"/>
      <color rgb="FF9C0006"/>
      <name val="Calibri"/>
      <family val="1"/>
      <scheme val="minor"/>
    </font>
    <font>
      <sz val="11"/>
      <color rgb="FF9C6500"/>
      <name val="Calibri"/>
      <family val="1"/>
      <scheme val="minor"/>
    </font>
    <font>
      <sz val="11"/>
      <color indexed="8"/>
      <name val="Calibri"/>
      <family val="1"/>
      <scheme val="minor"/>
    </font>
    <font>
      <sz val="11"/>
      <name val="Arial"/>
      <family val="1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MS Sans Serif"/>
      <family val="2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sz val="10"/>
      <name val="Arial"/>
    </font>
    <font>
      <sz val="11"/>
      <name val="Tahoma"/>
      <family val="2"/>
    </font>
    <font>
      <b/>
      <sz val="1"/>
      <color indexed="8"/>
      <name val="Courier"/>
      <family val="3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sz val="1"/>
      <color indexed="8"/>
      <name val="Courier"/>
      <family val="3"/>
    </font>
    <font>
      <sz val="9"/>
      <name val="Times New Roman"/>
      <family val="1"/>
    </font>
    <font>
      <sz val="9"/>
      <name val="Times New Roman"/>
    </font>
    <font>
      <b/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9"/>
      <name val="Times New Roman"/>
      <family val="1"/>
    </font>
    <font>
      <sz val="11"/>
      <color rgb="FFFF0000"/>
      <name val="Calibri"/>
      <family val="2"/>
      <scheme val="minor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sz val="9"/>
      <color rgb="FF333333"/>
      <name val="Arial"/>
      <family val="2"/>
    </font>
    <font>
      <sz val="12"/>
      <color rgb="FFFF0000"/>
      <name val="Arial"/>
      <family val="2"/>
    </font>
    <font>
      <b/>
      <sz val="12"/>
      <name val="Arial"/>
      <family val="1"/>
    </font>
    <font>
      <b/>
      <sz val="12"/>
      <color rgb="FF000000"/>
      <name val="Arial"/>
      <family val="1"/>
    </font>
    <font>
      <sz val="12"/>
      <color rgb="FF000000"/>
      <name val="Arial"/>
      <family val="1"/>
    </font>
    <font>
      <b/>
      <sz val="16"/>
      <color theme="1"/>
      <name val="Arial"/>
      <family val="2"/>
    </font>
    <font>
      <sz val="8"/>
      <name val="Arial"/>
      <family val="2"/>
    </font>
    <font>
      <sz val="10"/>
      <name val="Cambria"/>
      <family val="1"/>
    </font>
    <font>
      <b/>
      <sz val="12"/>
      <color theme="0"/>
      <name val="Arial"/>
      <family val="1"/>
    </font>
  </fonts>
  <fills count="8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8ECF6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72">
    <xf numFmtId="0" fontId="0" fillId="0" borderId="0"/>
    <xf numFmtId="0" fontId="3" fillId="0" borderId="0"/>
    <xf numFmtId="0" fontId="28" fillId="31" borderId="0" applyNumberFormat="0" applyBorder="0" applyAlignment="0" applyProtection="0"/>
    <xf numFmtId="0" fontId="9" fillId="2" borderId="0" applyNumberFormat="0" applyBorder="0" applyAlignment="0" applyProtection="0"/>
    <xf numFmtId="0" fontId="28" fillId="46" borderId="0" applyNumberFormat="0" applyBorder="0" applyAlignment="0" applyProtection="0"/>
    <xf numFmtId="0" fontId="9" fillId="3" borderId="0" applyNumberFormat="0" applyBorder="0" applyAlignment="0" applyProtection="0"/>
    <xf numFmtId="0" fontId="28" fillId="27" borderId="0" applyNumberFormat="0" applyBorder="0" applyAlignment="0" applyProtection="0"/>
    <xf numFmtId="0" fontId="9" fillId="4" borderId="0" applyNumberFormat="0" applyBorder="0" applyAlignment="0" applyProtection="0"/>
    <xf numFmtId="0" fontId="28" fillId="50" borderId="0" applyNumberFormat="0" applyBorder="0" applyAlignment="0" applyProtection="0"/>
    <xf numFmtId="0" fontId="9" fillId="5" borderId="0" applyNumberFormat="0" applyBorder="0" applyAlignment="0" applyProtection="0"/>
    <xf numFmtId="0" fontId="28" fillId="42" borderId="0" applyNumberFormat="0" applyBorder="0" applyAlignment="0" applyProtection="0"/>
    <xf numFmtId="0" fontId="9" fillId="6" borderId="0" applyNumberFormat="0" applyBorder="0" applyAlignment="0" applyProtection="0"/>
    <xf numFmtId="0" fontId="28" fillId="44" borderId="0" applyNumberFormat="0" applyBorder="0" applyAlignment="0" applyProtection="0"/>
    <xf numFmtId="0" fontId="9" fillId="7" borderId="0" applyNumberFormat="0" applyBorder="0" applyAlignment="0" applyProtection="0"/>
    <xf numFmtId="0" fontId="28" fillId="38" borderId="0" applyNumberFormat="0" applyBorder="0" applyAlignment="0" applyProtection="0"/>
    <xf numFmtId="0" fontId="9" fillId="8" borderId="0" applyNumberFormat="0" applyBorder="0" applyAlignment="0" applyProtection="0"/>
    <xf numFmtId="0" fontId="28" fillId="29" borderId="0" applyNumberFormat="0" applyBorder="0" applyAlignment="0" applyProtection="0"/>
    <xf numFmtId="0" fontId="9" fillId="9" borderId="0" applyNumberFormat="0" applyBorder="0" applyAlignment="0" applyProtection="0"/>
    <xf numFmtId="0" fontId="28" fillId="48" borderId="0" applyNumberFormat="0" applyBorder="0" applyAlignment="0" applyProtection="0"/>
    <xf numFmtId="0" fontId="9" fillId="10" borderId="0" applyNumberFormat="0" applyBorder="0" applyAlignment="0" applyProtection="0"/>
    <xf numFmtId="0" fontId="28" fillId="24" borderId="0" applyNumberFormat="0" applyBorder="0" applyAlignment="0" applyProtection="0"/>
    <xf numFmtId="0" fontId="9" fillId="5" borderId="0" applyNumberFormat="0" applyBorder="0" applyAlignment="0" applyProtection="0"/>
    <xf numFmtId="0" fontId="28" fillId="52" borderId="0" applyNumberFormat="0" applyBorder="0" applyAlignment="0" applyProtection="0"/>
    <xf numFmtId="0" fontId="9" fillId="8" borderId="0" applyNumberFormat="0" applyBorder="0" applyAlignment="0" applyProtection="0"/>
    <xf numFmtId="0" fontId="28" fillId="30" borderId="0" applyNumberFormat="0" applyBorder="0" applyAlignment="0" applyProtection="0"/>
    <xf numFmtId="0" fontId="9" fillId="11" borderId="0" applyNumberFormat="0" applyBorder="0" applyAlignment="0" applyProtection="0"/>
    <xf numFmtId="0" fontId="36" fillId="37" borderId="0" applyNumberFormat="0" applyBorder="0" applyAlignment="0" applyProtection="0"/>
    <xf numFmtId="0" fontId="8" fillId="12" borderId="0" applyNumberFormat="0" applyBorder="0" applyAlignment="0" applyProtection="0"/>
    <xf numFmtId="0" fontId="36" fillId="47" borderId="0" applyNumberFormat="0" applyBorder="0" applyAlignment="0" applyProtection="0"/>
    <xf numFmtId="0" fontId="8" fillId="9" borderId="0" applyNumberFormat="0" applyBorder="0" applyAlignment="0" applyProtection="0"/>
    <xf numFmtId="0" fontId="36" fillId="49" borderId="0" applyNumberFormat="0" applyBorder="0" applyAlignment="0" applyProtection="0"/>
    <xf numFmtId="0" fontId="8" fillId="10" borderId="0" applyNumberFormat="0" applyBorder="0" applyAlignment="0" applyProtection="0"/>
    <xf numFmtId="0" fontId="36" fillId="51" borderId="0" applyNumberFormat="0" applyBorder="0" applyAlignment="0" applyProtection="0"/>
    <xf numFmtId="0" fontId="8" fillId="13" borderId="0" applyNumberFormat="0" applyBorder="0" applyAlignment="0" applyProtection="0"/>
    <xf numFmtId="0" fontId="36" fillId="53" borderId="0" applyNumberFormat="0" applyBorder="0" applyAlignment="0" applyProtection="0"/>
    <xf numFmtId="0" fontId="8" fillId="14" borderId="0" applyNumberFormat="0" applyBorder="0" applyAlignment="0" applyProtection="0"/>
    <xf numFmtId="0" fontId="36" fillId="54" borderId="0" applyNumberFormat="0" applyBorder="0" applyAlignment="0" applyProtection="0"/>
    <xf numFmtId="0" fontId="8" fillId="15" borderId="0" applyNumberFormat="0" applyBorder="0" applyAlignment="0" applyProtection="0"/>
    <xf numFmtId="0" fontId="42" fillId="39" borderId="0" applyNumberFormat="0" applyBorder="0" applyAlignment="0" applyProtection="0"/>
    <xf numFmtId="0" fontId="18" fillId="4" borderId="0" applyNumberFormat="0" applyBorder="0" applyAlignment="0" applyProtection="0"/>
    <xf numFmtId="0" fontId="31" fillId="26" borderId="4" applyNumberFormat="0" applyAlignment="0" applyProtection="0"/>
    <xf numFmtId="0" fontId="17" fillId="16" borderId="10" applyNumberFormat="0" applyAlignment="0" applyProtection="0"/>
    <xf numFmtId="0" fontId="30" fillId="25" borderId="7" applyNumberFormat="0" applyAlignment="0" applyProtection="0"/>
    <xf numFmtId="0" fontId="19" fillId="17" borderId="11" applyNumberFormat="0" applyAlignment="0" applyProtection="0"/>
    <xf numFmtId="0" fontId="29" fillId="0" borderId="6" applyNumberFormat="0" applyFill="0" applyAlignment="0" applyProtection="0"/>
    <xf numFmtId="0" fontId="16" fillId="0" borderId="12" applyNumberFormat="0" applyFill="0" applyAlignment="0" applyProtection="0"/>
    <xf numFmtId="0" fontId="36" fillId="43" borderId="0" applyNumberFormat="0" applyBorder="0" applyAlignment="0" applyProtection="0"/>
    <xf numFmtId="0" fontId="8" fillId="18" borderId="0" applyNumberFormat="0" applyBorder="0" applyAlignment="0" applyProtection="0"/>
    <xf numFmtId="0" fontId="36" fillId="45" borderId="0" applyNumberFormat="0" applyBorder="0" applyAlignment="0" applyProtection="0"/>
    <xf numFmtId="0" fontId="8" fillId="19" borderId="0" applyNumberFormat="0" applyBorder="0" applyAlignment="0" applyProtection="0"/>
    <xf numFmtId="0" fontId="36" fillId="32" borderId="0" applyNumberFormat="0" applyBorder="0" applyAlignment="0" applyProtection="0"/>
    <xf numFmtId="0" fontId="8" fillId="20" borderId="0" applyNumberFormat="0" applyBorder="0" applyAlignment="0" applyProtection="0"/>
    <xf numFmtId="0" fontId="36" fillId="33" borderId="0" applyNumberFormat="0" applyBorder="0" applyAlignment="0" applyProtection="0"/>
    <xf numFmtId="0" fontId="8" fillId="13" borderId="0" applyNumberFormat="0" applyBorder="0" applyAlignment="0" applyProtection="0"/>
    <xf numFmtId="0" fontId="36" fillId="34" borderId="0" applyNumberFormat="0" applyBorder="0" applyAlignment="0" applyProtection="0"/>
    <xf numFmtId="0" fontId="8" fillId="14" borderId="0" applyNumberFormat="0" applyBorder="0" applyAlignment="0" applyProtection="0"/>
    <xf numFmtId="0" fontId="36" fillId="35" borderId="0" applyNumberFormat="0" applyBorder="0" applyAlignment="0" applyProtection="0"/>
    <xf numFmtId="0" fontId="8" fillId="21" borderId="0" applyNumberFormat="0" applyBorder="0" applyAlignment="0" applyProtection="0"/>
    <xf numFmtId="0" fontId="39" fillId="36" borderId="4" applyNumberFormat="0" applyAlignment="0" applyProtection="0"/>
    <xf numFmtId="0" fontId="23" fillId="7" borderId="10" applyNumberFormat="0" applyAlignment="0" applyProtection="0"/>
    <xf numFmtId="0" fontId="43" fillId="40" borderId="0" applyNumberFormat="0" applyBorder="0" applyAlignment="0" applyProtection="0"/>
    <xf numFmtId="0" fontId="22" fillId="3" borderId="0" applyNumberFormat="0" applyBorder="0" applyAlignment="0" applyProtection="0"/>
    <xf numFmtId="0" fontId="1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4" fillId="41" borderId="0" applyNumberFormat="0" applyBorder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39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28" fillId="0" borderId="0"/>
    <xf numFmtId="0" fontId="3" fillId="23" borderId="13" applyNumberFormat="0" applyFont="0" applyAlignment="0" applyProtection="0"/>
    <xf numFmtId="0" fontId="9" fillId="28" borderId="8" applyNumberFormat="0" applyFont="0" applyAlignment="0" applyProtection="0"/>
    <xf numFmtId="0" fontId="3" fillId="23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0" fillId="26" borderId="5" applyNumberFormat="0" applyAlignment="0" applyProtection="0"/>
    <xf numFmtId="0" fontId="25" fillId="16" borderId="14" applyNumberFormat="0" applyAlignment="0" applyProtection="0"/>
    <xf numFmtId="165" fontId="24" fillId="0" borderId="0"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14" fillId="0" borderId="15" applyNumberFormat="0" applyFill="0" applyAlignment="0" applyProtection="0"/>
    <xf numFmtId="0" fontId="37" fillId="0" borderId="2" applyNumberFormat="0" applyFill="0" applyAlignment="0" applyProtection="0"/>
    <xf numFmtId="0" fontId="11" fillId="0" borderId="16" applyNumberFormat="0" applyFill="0" applyAlignment="0" applyProtection="0"/>
    <xf numFmtId="0" fontId="38" fillId="0" borderId="3" applyNumberFormat="0" applyFill="0" applyAlignment="0" applyProtection="0"/>
    <xf numFmtId="0" fontId="21" fillId="0" borderId="17" applyNumberFormat="0" applyFill="0" applyAlignment="0" applyProtection="0"/>
    <xf numFmtId="0" fontId="3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12" fillId="0" borderId="18" applyNumberFormat="0" applyFill="0" applyAlignment="0" applyProtection="0"/>
    <xf numFmtId="43" fontId="3" fillId="0" borderId="0" applyFont="0" applyFill="0" applyBorder="0" applyAlignment="0" applyProtection="0"/>
    <xf numFmtId="166" fontId="26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26" fillId="0" borderId="0" applyFill="0" applyBorder="0" applyAlignment="0" applyProtection="0"/>
    <xf numFmtId="43" fontId="3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6" fillId="0" borderId="0"/>
    <xf numFmtId="43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" fillId="0" borderId="0"/>
    <xf numFmtId="43" fontId="4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43" fontId="59" fillId="0" borderId="0" applyFont="0" applyFill="0" applyBorder="0" applyAlignment="0" applyProtection="0">
      <alignment vertical="center"/>
    </xf>
    <xf numFmtId="0" fontId="3" fillId="0" borderId="0"/>
    <xf numFmtId="175" fontId="3" fillId="0" borderId="0" applyBorder="0" applyProtection="0"/>
    <xf numFmtId="0" fontId="60" fillId="0" borderId="0"/>
    <xf numFmtId="174" fontId="58" fillId="0" borderId="0" applyBorder="0" applyProtection="0"/>
    <xf numFmtId="0" fontId="58" fillId="0" borderId="0"/>
    <xf numFmtId="175" fontId="60" fillId="0" borderId="0" applyBorder="0" applyProtection="0"/>
    <xf numFmtId="176" fontId="3" fillId="0" borderId="0" applyBorder="0" applyProtection="0"/>
    <xf numFmtId="0" fontId="3" fillId="0" borderId="0"/>
    <xf numFmtId="169" fontId="60" fillId="0" borderId="0" applyBorder="0" applyProtection="0"/>
    <xf numFmtId="0" fontId="58" fillId="0" borderId="0"/>
    <xf numFmtId="0" fontId="60" fillId="0" borderId="0"/>
    <xf numFmtId="0" fontId="60" fillId="0" borderId="0"/>
    <xf numFmtId="9" fontId="60" fillId="0" borderId="0" applyBorder="0" applyProtection="0"/>
    <xf numFmtId="9" fontId="3" fillId="0" borderId="0" applyBorder="0" applyProtection="0"/>
    <xf numFmtId="177" fontId="58" fillId="0" borderId="0" applyBorder="0" applyProtection="0"/>
    <xf numFmtId="177" fontId="58" fillId="0" borderId="0" applyBorder="0" applyProtection="0"/>
    <xf numFmtId="178" fontId="3" fillId="0" borderId="0" applyBorder="0" applyProtection="0"/>
    <xf numFmtId="169" fontId="60" fillId="0" borderId="0" applyBorder="0" applyProtection="0"/>
    <xf numFmtId="178" fontId="3" fillId="0" borderId="0" applyBorder="0" applyProtection="0"/>
    <xf numFmtId="178" fontId="3" fillId="0" borderId="0" applyBorder="0" applyProtection="0"/>
    <xf numFmtId="178" fontId="3" fillId="0" borderId="0" applyBorder="0" applyProtection="0"/>
    <xf numFmtId="177" fontId="58" fillId="0" borderId="0" applyBorder="0" applyProtection="0"/>
    <xf numFmtId="179" fontId="60" fillId="0" borderId="0" applyBorder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1" fillId="0" borderId="0"/>
    <xf numFmtId="0" fontId="1" fillId="0" borderId="0"/>
    <xf numFmtId="0" fontId="1" fillId="0" borderId="0"/>
    <xf numFmtId="0" fontId="61" fillId="0" borderId="0"/>
    <xf numFmtId="9" fontId="61" fillId="0" borderId="0" applyFont="0" applyFill="0" applyBorder="0" applyAlignment="0" applyProtection="0"/>
    <xf numFmtId="0" fontId="62" fillId="0" borderId="0"/>
    <xf numFmtId="0" fontId="63" fillId="0" borderId="0"/>
    <xf numFmtId="180" fontId="64" fillId="0" borderId="0">
      <protection locked="0"/>
    </xf>
    <xf numFmtId="180" fontId="64" fillId="0" borderId="0">
      <protection locked="0"/>
    </xf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3" fontId="67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58" fillId="0" borderId="0" applyFont="0" applyFill="0" applyBorder="0" applyAlignment="0" applyProtection="0"/>
    <xf numFmtId="0" fontId="68" fillId="0" borderId="0" applyFont="0" applyFill="0" applyBorder="0" applyAlignment="0" applyProtection="0"/>
    <xf numFmtId="183" fontId="3" fillId="0" borderId="0" applyFont="0" applyFill="0" applyBorder="0" applyAlignment="0" applyProtection="0"/>
    <xf numFmtId="2" fontId="68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4" fontId="63" fillId="0" borderId="0" applyFont="0" applyFill="0" applyBorder="0" applyAlignment="0" applyProtection="0"/>
    <xf numFmtId="184" fontId="68" fillId="0" borderId="0" applyFont="0" applyFill="0" applyBorder="0" applyAlignment="0" applyProtection="0"/>
    <xf numFmtId="185" fontId="3" fillId="0" borderId="0" applyFont="0" applyFill="0" applyBorder="0" applyAlignment="0" applyProtection="0"/>
    <xf numFmtId="0" fontId="3" fillId="0" borderId="0"/>
    <xf numFmtId="186" fontId="69" fillId="0" borderId="0">
      <protection locked="0"/>
    </xf>
    <xf numFmtId="187" fontId="69" fillId="0" borderId="0">
      <protection locked="0"/>
    </xf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188" fontId="24" fillId="0" borderId="0">
      <protection locked="0"/>
    </xf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189" fontId="64" fillId="0" borderId="0">
      <protection locked="0"/>
    </xf>
    <xf numFmtId="189" fontId="64" fillId="0" borderId="0">
      <protection locked="0"/>
    </xf>
    <xf numFmtId="187" fontId="69" fillId="0" borderId="0">
      <protection locked="0"/>
    </xf>
    <xf numFmtId="190" fontId="69" fillId="0" borderId="0">
      <protection locked="0"/>
    </xf>
    <xf numFmtId="3" fontId="68" fillId="0" borderId="0" applyFont="0" applyFill="0" applyBorder="0" applyAlignment="0" applyProtection="0"/>
    <xf numFmtId="43" fontId="70" fillId="0" borderId="0" applyFont="0" applyFill="0" applyBorder="0" applyAlignment="0" applyProtection="0"/>
    <xf numFmtId="0" fontId="71" fillId="0" borderId="0"/>
    <xf numFmtId="44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9" fillId="62" borderId="0" applyNumberFormat="0" applyBorder="0" applyAlignment="0" applyProtection="0"/>
    <xf numFmtId="0" fontId="9" fillId="63" borderId="0" applyNumberFormat="0" applyBorder="0" applyAlignment="0" applyProtection="0"/>
    <xf numFmtId="0" fontId="9" fillId="64" borderId="0" applyNumberFormat="0" applyBorder="0" applyAlignment="0" applyProtection="0"/>
    <xf numFmtId="0" fontId="9" fillId="65" borderId="0" applyNumberFormat="0" applyBorder="0" applyAlignment="0" applyProtection="0"/>
    <xf numFmtId="0" fontId="9" fillId="66" borderId="0" applyNumberFormat="0" applyBorder="0" applyAlignment="0" applyProtection="0"/>
    <xf numFmtId="0" fontId="9" fillId="64" borderId="0" applyNumberFormat="0" applyBorder="0" applyAlignment="0" applyProtection="0"/>
    <xf numFmtId="0" fontId="9" fillId="66" borderId="0" applyNumberFormat="0" applyBorder="0" applyAlignment="0" applyProtection="0"/>
    <xf numFmtId="0" fontId="9" fillId="63" borderId="0" applyNumberFormat="0" applyBorder="0" applyAlignment="0" applyProtection="0"/>
    <xf numFmtId="0" fontId="9" fillId="67" borderId="0" applyNumberFormat="0" applyBorder="0" applyAlignment="0" applyProtection="0"/>
    <xf numFmtId="0" fontId="9" fillId="68" borderId="0" applyNumberFormat="0" applyBorder="0" applyAlignment="0" applyProtection="0"/>
    <xf numFmtId="0" fontId="9" fillId="66" borderId="0" applyNumberFormat="0" applyBorder="0" applyAlignment="0" applyProtection="0"/>
    <xf numFmtId="0" fontId="9" fillId="64" borderId="0" applyNumberFormat="0" applyBorder="0" applyAlignment="0" applyProtection="0"/>
    <xf numFmtId="0" fontId="8" fillId="66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68" borderId="0" applyNumberFormat="0" applyBorder="0" applyAlignment="0" applyProtection="0"/>
    <xf numFmtId="0" fontId="8" fillId="66" borderId="0" applyNumberFormat="0" applyBorder="0" applyAlignment="0" applyProtection="0"/>
    <xf numFmtId="0" fontId="8" fillId="63" borderId="0" applyNumberFormat="0" applyBorder="0" applyAlignment="0" applyProtection="0"/>
    <xf numFmtId="0" fontId="8" fillId="71" borderId="0" applyNumberFormat="0" applyBorder="0" applyAlignment="0" applyProtection="0"/>
    <xf numFmtId="0" fontId="8" fillId="69" borderId="0" applyNumberFormat="0" applyBorder="0" applyAlignment="0" applyProtection="0"/>
    <xf numFmtId="0" fontId="8" fillId="70" borderId="0" applyNumberFormat="0" applyBorder="0" applyAlignment="0" applyProtection="0"/>
    <xf numFmtId="0" fontId="8" fillId="72" borderId="0" applyNumberFormat="0" applyBorder="0" applyAlignment="0" applyProtection="0"/>
    <xf numFmtId="0" fontId="8" fillId="73" borderId="0" applyNumberFormat="0" applyBorder="0" applyAlignment="0" applyProtection="0"/>
    <xf numFmtId="0" fontId="8" fillId="74" borderId="0" applyNumberFormat="0" applyBorder="0" applyAlignment="0" applyProtection="0"/>
    <xf numFmtId="0" fontId="22" fillId="75" borderId="0" applyNumberFormat="0" applyBorder="0" applyAlignment="0" applyProtection="0"/>
    <xf numFmtId="0" fontId="72" fillId="76" borderId="10" applyNumberFormat="0" applyAlignment="0" applyProtection="0"/>
    <xf numFmtId="0" fontId="19" fillId="77" borderId="11" applyNumberFormat="0" applyAlignment="0" applyProtection="0"/>
    <xf numFmtId="0" fontId="27" fillId="0" borderId="0" applyNumberFormat="0" applyFill="0" applyBorder="0" applyAlignment="0" applyProtection="0"/>
    <xf numFmtId="0" fontId="18" fillId="66" borderId="0" applyNumberFormat="0" applyBorder="0" applyAlignment="0" applyProtection="0"/>
    <xf numFmtId="0" fontId="73" fillId="0" borderId="62" applyNumberFormat="0" applyFill="0" applyAlignment="0" applyProtection="0"/>
    <xf numFmtId="0" fontId="74" fillId="0" borderId="63" applyNumberFormat="0" applyFill="0" applyAlignment="0" applyProtection="0"/>
    <xf numFmtId="0" fontId="75" fillId="0" borderId="64" applyNumberFormat="0" applyFill="0" applyAlignment="0" applyProtection="0"/>
    <xf numFmtId="0" fontId="75" fillId="0" borderId="0" applyNumberFormat="0" applyFill="0" applyBorder="0" applyAlignment="0" applyProtection="0"/>
    <xf numFmtId="0" fontId="23" fillId="67" borderId="10" applyNumberFormat="0" applyAlignment="0" applyProtection="0"/>
    <xf numFmtId="0" fontId="15" fillId="0" borderId="65" applyNumberFormat="0" applyFill="0" applyAlignment="0" applyProtection="0"/>
    <xf numFmtId="44" fontId="70" fillId="0" borderId="0" applyFont="0" applyFill="0" applyBorder="0" applyAlignment="0" applyProtection="0"/>
    <xf numFmtId="44" fontId="70" fillId="0" borderId="0" applyFont="0" applyFill="0" applyBorder="0" applyAlignment="0" applyProtection="0"/>
    <xf numFmtId="44" fontId="70" fillId="0" borderId="0" applyFont="0" applyFill="0" applyBorder="0" applyAlignment="0" applyProtection="0"/>
    <xf numFmtId="44" fontId="70" fillId="0" borderId="0" applyFont="0" applyFill="0" applyBorder="0" applyAlignment="0" applyProtection="0"/>
    <xf numFmtId="44" fontId="70" fillId="0" borderId="0" applyFont="0" applyFill="0" applyBorder="0" applyAlignment="0" applyProtection="0"/>
    <xf numFmtId="44" fontId="70" fillId="0" borderId="0" applyFont="0" applyFill="0" applyBorder="0" applyAlignment="0" applyProtection="0"/>
    <xf numFmtId="44" fontId="70" fillId="0" borderId="0" applyFont="0" applyFill="0" applyBorder="0" applyAlignment="0" applyProtection="0"/>
    <xf numFmtId="0" fontId="76" fillId="67" borderId="0" applyNumberFormat="0" applyBorder="0" applyAlignment="0" applyProtection="0"/>
    <xf numFmtId="0" fontId="70" fillId="0" borderId="0"/>
    <xf numFmtId="0" fontId="70" fillId="0" borderId="0"/>
    <xf numFmtId="0" fontId="7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6" fillId="64" borderId="13" applyNumberFormat="0" applyFont="0" applyAlignment="0" applyProtection="0"/>
    <xf numFmtId="0" fontId="25" fillId="76" borderId="14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7" fillId="0" borderId="0" applyNumberFormat="0" applyFill="0" applyBorder="0" applyAlignment="0" applyProtection="0"/>
    <xf numFmtId="49" fontId="78" fillId="0" borderId="43">
      <alignment horizontal="left" vertical="center"/>
    </xf>
    <xf numFmtId="49" fontId="78" fillId="0" borderId="43">
      <alignment horizontal="left" vertical="center"/>
    </xf>
    <xf numFmtId="49" fontId="78" fillId="0" borderId="43">
      <alignment horizontal="left" vertical="center"/>
    </xf>
    <xf numFmtId="49" fontId="78" fillId="0" borderId="43">
      <alignment horizontal="left" vertical="center"/>
    </xf>
    <xf numFmtId="49" fontId="78" fillId="0" borderId="43">
      <alignment horizontal="left" vertical="center"/>
    </xf>
    <xf numFmtId="49" fontId="78" fillId="0" borderId="43">
      <alignment horizontal="left" vertical="center"/>
    </xf>
    <xf numFmtId="49" fontId="78" fillId="0" borderId="43">
      <alignment horizontal="left" vertical="center"/>
    </xf>
    <xf numFmtId="0" fontId="15" fillId="0" borderId="0" applyNumberFormat="0" applyFill="0" applyBorder="0" applyAlignment="0" applyProtection="0"/>
    <xf numFmtId="0" fontId="7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6">
    <xf numFmtId="0" fontId="0" fillId="0" borderId="0" xfId="0"/>
    <xf numFmtId="0" fontId="0" fillId="0" borderId="0" xfId="0" applyAlignment="1">
      <alignment wrapText="1"/>
    </xf>
    <xf numFmtId="0" fontId="49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167" fontId="49" fillId="0" borderId="0" xfId="0" applyNumberFormat="1" applyFont="1" applyAlignment="1">
      <alignment horizontal="center" vertical="center"/>
    </xf>
    <xf numFmtId="49" fontId="49" fillId="0" borderId="0" xfId="0" applyNumberFormat="1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10" fontId="6" fillId="0" borderId="37" xfId="76" applyNumberFormat="1" applyFont="1" applyBorder="1" applyAlignment="1">
      <alignment horizontal="right" vertical="center" wrapText="1"/>
    </xf>
    <xf numFmtId="0" fontId="6" fillId="0" borderId="38" xfId="76" applyFont="1" applyBorder="1" applyAlignment="1">
      <alignment horizontal="right" vertical="center" wrapText="1"/>
    </xf>
    <xf numFmtId="10" fontId="6" fillId="0" borderId="32" xfId="108" applyNumberFormat="1" applyFont="1" applyBorder="1" applyAlignment="1">
      <alignment horizontal="center" vertical="center" wrapText="1"/>
    </xf>
    <xf numFmtId="167" fontId="6" fillId="0" borderId="32" xfId="76" applyNumberFormat="1" applyFont="1" applyBorder="1" applyAlignment="1">
      <alignment horizontal="center" vertical="center" wrapText="1"/>
    </xf>
    <xf numFmtId="10" fontId="6" fillId="0" borderId="47" xfId="108" applyNumberFormat="1" applyFont="1" applyBorder="1" applyAlignment="1">
      <alignment horizontal="center" vertical="center" wrapText="1"/>
    </xf>
    <xf numFmtId="0" fontId="55" fillId="60" borderId="48" xfId="181" applyFont="1" applyFill="1" applyBorder="1" applyAlignment="1">
      <alignment horizontal="center" vertical="center" wrapText="1"/>
    </xf>
    <xf numFmtId="0" fontId="55" fillId="60" borderId="49" xfId="181" applyFont="1" applyFill="1" applyBorder="1" applyAlignment="1">
      <alignment horizontal="center" vertical="center" wrapText="1"/>
    </xf>
    <xf numFmtId="0" fontId="55" fillId="60" borderId="50" xfId="181" applyFont="1" applyFill="1" applyBorder="1" applyAlignment="1">
      <alignment horizontal="justify" vertical="center" wrapText="1"/>
    </xf>
    <xf numFmtId="172" fontId="55" fillId="60" borderId="50" xfId="181" applyNumberFormat="1" applyFont="1" applyFill="1" applyBorder="1" applyAlignment="1">
      <alignment horizontal="center" vertical="center" wrapText="1"/>
    </xf>
    <xf numFmtId="2" fontId="55" fillId="55" borderId="49" xfId="176" applyNumberFormat="1" applyFont="1" applyFill="1" applyBorder="1" applyAlignment="1">
      <alignment horizontal="center" vertical="center" wrapText="1"/>
    </xf>
    <xf numFmtId="167" fontId="55" fillId="60" borderId="49" xfId="176" applyNumberFormat="1" applyFont="1" applyFill="1" applyBorder="1" applyAlignment="1">
      <alignment horizontal="center" vertical="center" wrapText="1"/>
    </xf>
    <xf numFmtId="0" fontId="55" fillId="60" borderId="49" xfId="181" applyFont="1" applyFill="1" applyBorder="1" applyAlignment="1">
      <alignment horizontal="justify" vertical="center" wrapText="1"/>
    </xf>
    <xf numFmtId="172" fontId="55" fillId="60" borderId="49" xfId="181" applyNumberFormat="1" applyFont="1" applyFill="1" applyBorder="1" applyAlignment="1">
      <alignment horizontal="center" vertical="center" wrapText="1"/>
    </xf>
    <xf numFmtId="0" fontId="55" fillId="60" borderId="51" xfId="181" applyFont="1" applyFill="1" applyBorder="1" applyAlignment="1">
      <alignment horizontal="center" vertical="center" wrapText="1"/>
    </xf>
    <xf numFmtId="0" fontId="55" fillId="60" borderId="48" xfId="181" applyFont="1" applyFill="1" applyBorder="1" applyAlignment="1">
      <alignment horizontal="justify" vertical="center" wrapText="1"/>
    </xf>
    <xf numFmtId="172" fontId="55" fillId="60" borderId="48" xfId="181" applyNumberFormat="1" applyFont="1" applyFill="1" applyBorder="1" applyAlignment="1">
      <alignment horizontal="center" vertical="center" wrapText="1"/>
    </xf>
    <xf numFmtId="0" fontId="6" fillId="0" borderId="52" xfId="76" applyFont="1" applyBorder="1" applyAlignment="1">
      <alignment horizontal="center" vertical="center"/>
    </xf>
    <xf numFmtId="0" fontId="6" fillId="0" borderId="53" xfId="76" applyFont="1" applyBorder="1" applyAlignment="1">
      <alignment horizontal="center" vertical="center"/>
    </xf>
    <xf numFmtId="167" fontId="5" fillId="0" borderId="50" xfId="77" applyNumberFormat="1" applyFont="1" applyBorder="1" applyAlignment="1">
      <alignment horizontal="center" vertical="center"/>
    </xf>
    <xf numFmtId="0" fontId="6" fillId="0" borderId="55" xfId="76" applyFont="1" applyBorder="1" applyAlignment="1">
      <alignment horizontal="center" vertical="center"/>
    </xf>
    <xf numFmtId="0" fontId="6" fillId="0" borderId="51" xfId="76" applyFont="1" applyBorder="1" applyAlignment="1">
      <alignment horizontal="center" vertical="center"/>
    </xf>
    <xf numFmtId="167" fontId="5" fillId="0" borderId="49" xfId="77" applyNumberFormat="1" applyFont="1" applyBorder="1" applyAlignment="1">
      <alignment horizontal="center" vertical="center"/>
    </xf>
    <xf numFmtId="0" fontId="6" fillId="0" borderId="57" xfId="76" applyFont="1" applyBorder="1" applyAlignment="1">
      <alignment horizontal="center" vertical="center"/>
    </xf>
    <xf numFmtId="0" fontId="6" fillId="0" borderId="58" xfId="76" applyFont="1" applyBorder="1" applyAlignment="1">
      <alignment horizontal="center" vertical="center"/>
    </xf>
    <xf numFmtId="167" fontId="5" fillId="0" borderId="60" xfId="77" applyNumberFormat="1" applyFont="1" applyBorder="1" applyAlignment="1">
      <alignment horizontal="center" vertical="center"/>
    </xf>
    <xf numFmtId="0" fontId="6" fillId="61" borderId="37" xfId="76" applyFont="1" applyFill="1" applyBorder="1" applyAlignment="1">
      <alignment horizontal="center" vertical="center"/>
    </xf>
    <xf numFmtId="0" fontId="6" fillId="61" borderId="38" xfId="76" applyFont="1" applyFill="1" applyBorder="1" applyAlignment="1">
      <alignment horizontal="center" vertical="center"/>
    </xf>
    <xf numFmtId="0" fontId="57" fillId="59" borderId="38" xfId="181" applyFont="1" applyFill="1" applyBorder="1" applyAlignment="1">
      <alignment horizontal="center" vertical="center" wrapText="1"/>
    </xf>
    <xf numFmtId="167" fontId="5" fillId="61" borderId="19" xfId="78" applyNumberFormat="1" applyFont="1" applyFill="1" applyBorder="1" applyAlignment="1">
      <alignment horizontal="center" vertical="center"/>
    </xf>
    <xf numFmtId="0" fontId="55" fillId="60" borderId="50" xfId="181" applyFont="1" applyFill="1" applyBorder="1" applyAlignment="1">
      <alignment horizontal="center" vertical="center" wrapText="1"/>
    </xf>
    <xf numFmtId="10" fontId="5" fillId="0" borderId="51" xfId="78" applyNumberFormat="1" applyFont="1" applyBorder="1" applyAlignment="1">
      <alignment vertical="center"/>
    </xf>
    <xf numFmtId="0" fontId="5" fillId="0" borderId="51" xfId="78" applyFont="1" applyBorder="1" applyAlignment="1">
      <alignment horizontal="right" vertical="center"/>
    </xf>
    <xf numFmtId="10" fontId="5" fillId="0" borderId="56" xfId="78" applyNumberFormat="1" applyFont="1" applyBorder="1" applyAlignment="1">
      <alignment horizontal="right" vertical="center"/>
    </xf>
    <xf numFmtId="167" fontId="5" fillId="0" borderId="60" xfId="78" applyNumberFormat="1" applyFont="1" applyBorder="1" applyAlignment="1">
      <alignment horizontal="center" vertical="center"/>
    </xf>
    <xf numFmtId="0" fontId="6" fillId="0" borderId="50" xfId="76" applyFont="1" applyBorder="1" applyAlignment="1">
      <alignment horizontal="center" vertical="center"/>
    </xf>
    <xf numFmtId="0" fontId="6" fillId="0" borderId="61" xfId="76" applyFont="1" applyBorder="1" applyAlignment="1">
      <alignment horizontal="center" vertical="center"/>
    </xf>
    <xf numFmtId="0" fontId="55" fillId="60" borderId="61" xfId="181" applyFont="1" applyFill="1" applyBorder="1" applyAlignment="1">
      <alignment horizontal="justify" vertical="center" wrapText="1"/>
    </xf>
    <xf numFmtId="0" fontId="6" fillId="0" borderId="49" xfId="76" applyFont="1" applyBorder="1" applyAlignment="1">
      <alignment horizontal="center" vertical="center"/>
    </xf>
    <xf numFmtId="173" fontId="55" fillId="55" borderId="49" xfId="176" applyNumberFormat="1" applyFont="1" applyFill="1" applyBorder="1" applyAlignment="1">
      <alignment horizontal="center" vertical="center" wrapText="1"/>
    </xf>
    <xf numFmtId="167" fontId="55" fillId="60" borderId="48" xfId="176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vertical="center"/>
    </xf>
    <xf numFmtId="1" fontId="52" fillId="0" borderId="61" xfId="0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1" fontId="52" fillId="0" borderId="0" xfId="0" applyNumberFormat="1" applyFont="1" applyAlignment="1">
      <alignment horizontal="center" vertical="center" wrapText="1"/>
    </xf>
    <xf numFmtId="0" fontId="3" fillId="0" borderId="0" xfId="76"/>
    <xf numFmtId="0" fontId="0" fillId="0" borderId="21" xfId="76" applyFont="1" applyBorder="1"/>
    <xf numFmtId="0" fontId="0" fillId="0" borderId="22" xfId="76" applyFont="1" applyBorder="1"/>
    <xf numFmtId="0" fontId="0" fillId="0" borderId="23" xfId="76" applyFont="1" applyBorder="1"/>
    <xf numFmtId="0" fontId="0" fillId="0" borderId="24" xfId="76" applyFont="1" applyBorder="1"/>
    <xf numFmtId="0" fontId="0" fillId="0" borderId="0" xfId="76" applyFont="1"/>
    <xf numFmtId="0" fontId="0" fillId="0" borderId="25" xfId="76" applyFont="1" applyBorder="1"/>
    <xf numFmtId="0" fontId="0" fillId="0" borderId="66" xfId="76" applyFont="1" applyBorder="1"/>
    <xf numFmtId="0" fontId="0" fillId="0" borderId="37" xfId="76" applyFont="1" applyBorder="1"/>
    <xf numFmtId="0" fontId="0" fillId="0" borderId="38" xfId="76" applyFont="1" applyBorder="1"/>
    <xf numFmtId="0" fontId="0" fillId="0" borderId="67" xfId="76" applyFont="1" applyBorder="1"/>
    <xf numFmtId="0" fontId="50" fillId="0" borderId="38" xfId="78" applyFont="1" applyBorder="1" applyAlignment="1">
      <alignment horizontal="center" vertical="center"/>
    </xf>
    <xf numFmtId="0" fontId="51" fillId="0" borderId="24" xfId="76" applyFont="1" applyBorder="1"/>
    <xf numFmtId="0" fontId="50" fillId="0" borderId="66" xfId="78" applyFont="1" applyBorder="1" applyAlignment="1">
      <alignment horizontal="center" vertical="center"/>
    </xf>
    <xf numFmtId="0" fontId="51" fillId="0" borderId="74" xfId="78" applyFont="1" applyBorder="1" applyAlignment="1">
      <alignment horizontal="center"/>
    </xf>
    <xf numFmtId="0" fontId="51" fillId="0" borderId="50" xfId="78" applyFont="1" applyBorder="1"/>
    <xf numFmtId="166" fontId="51" fillId="78" borderId="50" xfId="78" applyNumberFormat="1" applyFont="1" applyFill="1" applyBorder="1" applyAlignment="1">
      <alignment horizontal="center" vertical="center"/>
    </xf>
    <xf numFmtId="166" fontId="51" fillId="78" borderId="75" xfId="78" applyNumberFormat="1" applyFont="1" applyFill="1" applyBorder="1" applyAlignment="1">
      <alignment horizontal="center" vertical="center"/>
    </xf>
    <xf numFmtId="0" fontId="51" fillId="0" borderId="76" xfId="78" applyFont="1" applyBorder="1" applyAlignment="1">
      <alignment horizontal="center"/>
    </xf>
    <xf numFmtId="0" fontId="51" fillId="0" borderId="49" xfId="78" applyFont="1" applyBorder="1"/>
    <xf numFmtId="166" fontId="51" fillId="78" borderId="49" xfId="78" applyNumberFormat="1" applyFont="1" applyFill="1" applyBorder="1" applyAlignment="1">
      <alignment horizontal="center" vertical="center"/>
    </xf>
    <xf numFmtId="166" fontId="51" fillId="78" borderId="77" xfId="78" applyNumberFormat="1" applyFont="1" applyFill="1" applyBorder="1" applyAlignment="1">
      <alignment horizontal="center" vertical="center"/>
    </xf>
    <xf numFmtId="0" fontId="51" fillId="0" borderId="78" xfId="78" applyFont="1" applyBorder="1" applyAlignment="1">
      <alignment horizontal="center"/>
    </xf>
    <xf numFmtId="0" fontId="51" fillId="0" borderId="48" xfId="78" applyFont="1" applyBorder="1"/>
    <xf numFmtId="166" fontId="51" fillId="78" borderId="48" xfId="78" applyNumberFormat="1" applyFont="1" applyFill="1" applyBorder="1" applyAlignment="1">
      <alignment horizontal="center" vertical="center"/>
    </xf>
    <xf numFmtId="166" fontId="51" fillId="78" borderId="79" xfId="78" applyNumberFormat="1" applyFont="1" applyFill="1" applyBorder="1" applyAlignment="1">
      <alignment horizontal="center" vertical="center"/>
    </xf>
    <xf numFmtId="0" fontId="50" fillId="0" borderId="19" xfId="78" applyFont="1" applyBorder="1" applyAlignment="1">
      <alignment vertical="center"/>
    </xf>
    <xf numFmtId="166" fontId="50" fillId="38" borderId="19" xfId="78" applyNumberFormat="1" applyFont="1" applyFill="1" applyBorder="1" applyAlignment="1">
      <alignment horizontal="center" vertical="center"/>
    </xf>
    <xf numFmtId="166" fontId="50" fillId="38" borderId="73" xfId="78" applyNumberFormat="1" applyFont="1" applyFill="1" applyBorder="1" applyAlignment="1">
      <alignment horizontal="center" vertical="center"/>
    </xf>
    <xf numFmtId="0" fontId="51" fillId="0" borderId="78" xfId="78" applyFont="1" applyBorder="1" applyAlignment="1">
      <alignment horizontal="center" vertical="center"/>
    </xf>
    <xf numFmtId="0" fontId="51" fillId="0" borderId="48" xfId="78" applyFont="1" applyBorder="1" applyAlignment="1">
      <alignment horizontal="justify" vertical="center" wrapText="1"/>
    </xf>
    <xf numFmtId="166" fontId="50" fillId="38" borderId="81" xfId="78" applyNumberFormat="1" applyFont="1" applyFill="1" applyBorder="1" applyAlignment="1">
      <alignment horizontal="center" vertical="center"/>
    </xf>
    <xf numFmtId="10" fontId="50" fillId="38" borderId="81" xfId="78" applyNumberFormat="1" applyFont="1" applyFill="1" applyBorder="1" applyAlignment="1">
      <alignment horizontal="center" vertical="center"/>
    </xf>
    <xf numFmtId="10" fontId="50" fillId="38" borderId="82" xfId="78" applyNumberFormat="1" applyFont="1" applyFill="1" applyBorder="1" applyAlignment="1">
      <alignment horizontal="center" vertical="center"/>
    </xf>
    <xf numFmtId="0" fontId="51" fillId="0" borderId="0" xfId="76" applyFont="1"/>
    <xf numFmtId="0" fontId="50" fillId="0" borderId="66" xfId="76" applyFont="1" applyBorder="1" applyAlignment="1">
      <alignment vertical="center"/>
    </xf>
    <xf numFmtId="0" fontId="4" fillId="0" borderId="0" xfId="76" applyFont="1" applyAlignment="1">
      <alignment vertical="center" wrapText="1"/>
    </xf>
    <xf numFmtId="0" fontId="50" fillId="0" borderId="34" xfId="76" applyFont="1" applyBorder="1" applyAlignment="1">
      <alignment vertical="center" wrapText="1"/>
    </xf>
    <xf numFmtId="49" fontId="82" fillId="55" borderId="24" xfId="177" applyNumberFormat="1" applyFont="1" applyFill="1" applyBorder="1" applyAlignment="1">
      <alignment horizontal="center" vertical="center"/>
    </xf>
    <xf numFmtId="49" fontId="82" fillId="55" borderId="0" xfId="177" applyNumberFormat="1" applyFont="1" applyFill="1" applyAlignment="1">
      <alignment horizontal="center" vertical="center"/>
    </xf>
    <xf numFmtId="0" fontId="83" fillId="0" borderId="0" xfId="177" applyFont="1"/>
    <xf numFmtId="0" fontId="83" fillId="0" borderId="25" xfId="177" applyFont="1" applyBorder="1"/>
    <xf numFmtId="0" fontId="84" fillId="55" borderId="0" xfId="177" applyFont="1" applyFill="1" applyAlignment="1">
      <alignment horizontal="center" vertical="center"/>
    </xf>
    <xf numFmtId="0" fontId="84" fillId="0" borderId="80" xfId="177" applyFont="1" applyBorder="1" applyAlignment="1">
      <alignment horizontal="center" vertical="center"/>
    </xf>
    <xf numFmtId="0" fontId="84" fillId="0" borderId="82" xfId="177" applyFont="1" applyBorder="1" applyAlignment="1">
      <alignment horizontal="center" vertical="center"/>
    </xf>
    <xf numFmtId="0" fontId="0" fillId="0" borderId="0" xfId="177" applyFont="1" applyAlignment="1">
      <alignment vertical="center"/>
    </xf>
    <xf numFmtId="191" fontId="4" fillId="0" borderId="29" xfId="177" applyNumberFormat="1" applyFont="1" applyBorder="1" applyAlignment="1">
      <alignment horizontal="center" vertical="center" wrapText="1"/>
    </xf>
    <xf numFmtId="0" fontId="4" fillId="0" borderId="0" xfId="177" applyFont="1" applyAlignment="1">
      <alignment horizontal="justify" vertical="center" wrapText="1"/>
    </xf>
    <xf numFmtId="0" fontId="4" fillId="0" borderId="29" xfId="177" applyFont="1" applyBorder="1" applyAlignment="1">
      <alignment horizontal="justify" vertical="center" wrapText="1"/>
    </xf>
    <xf numFmtId="0" fontId="83" fillId="0" borderId="30" xfId="177" applyFont="1" applyBorder="1"/>
    <xf numFmtId="0" fontId="0" fillId="0" borderId="66" xfId="177" applyFont="1" applyBorder="1" applyAlignment="1">
      <alignment horizontal="center" vertical="center"/>
    </xf>
    <xf numFmtId="0" fontId="0" fillId="0" borderId="19" xfId="177" applyFont="1" applyBorder="1" applyAlignment="1">
      <alignment vertical="center"/>
    </xf>
    <xf numFmtId="10" fontId="3" fillId="79" borderId="73" xfId="178" applyNumberFormat="1" applyFont="1" applyFill="1" applyBorder="1" applyAlignment="1" applyProtection="1">
      <alignment horizontal="center" vertical="center"/>
      <protection locked="0"/>
    </xf>
    <xf numFmtId="10" fontId="0" fillId="0" borderId="0" xfId="178" applyNumberFormat="1" applyFont="1" applyBorder="1" applyAlignment="1">
      <alignment horizontal="center" vertical="center"/>
    </xf>
    <xf numFmtId="10" fontId="0" fillId="0" borderId="66" xfId="178" applyNumberFormat="1" applyFont="1" applyBorder="1" applyAlignment="1">
      <alignment horizontal="center" vertical="center"/>
    </xf>
    <xf numFmtId="10" fontId="0" fillId="0" borderId="73" xfId="178" applyNumberFormat="1" applyFont="1" applyBorder="1" applyAlignment="1">
      <alignment horizontal="center" vertical="center"/>
    </xf>
    <xf numFmtId="10" fontId="0" fillId="0" borderId="66" xfId="178" applyNumberFormat="1" applyFont="1" applyFill="1" applyBorder="1" applyAlignment="1" applyProtection="1">
      <alignment horizontal="center" vertical="center"/>
    </xf>
    <xf numFmtId="10" fontId="4" fillId="0" borderId="82" xfId="178" applyNumberFormat="1" applyFont="1" applyBorder="1" applyAlignment="1">
      <alignment horizontal="center" vertical="center"/>
    </xf>
    <xf numFmtId="10" fontId="4" fillId="0" borderId="0" xfId="178" applyNumberFormat="1" applyFont="1" applyBorder="1" applyAlignment="1">
      <alignment horizontal="center" vertical="center"/>
    </xf>
    <xf numFmtId="10" fontId="0" fillId="0" borderId="80" xfId="178" applyNumberFormat="1" applyFont="1" applyBorder="1" applyAlignment="1">
      <alignment horizontal="center" vertical="center"/>
    </xf>
    <xf numFmtId="10" fontId="0" fillId="0" borderId="82" xfId="178" applyNumberFormat="1" applyFont="1" applyBorder="1" applyAlignment="1">
      <alignment horizontal="center" vertical="center"/>
    </xf>
    <xf numFmtId="0" fontId="0" fillId="0" borderId="0" xfId="177" applyFont="1" applyAlignment="1">
      <alignment horizontal="center" vertical="center"/>
    </xf>
    <xf numFmtId="10" fontId="0" fillId="0" borderId="25" xfId="178" applyNumberFormat="1" applyFont="1" applyBorder="1" applyAlignment="1">
      <alignment horizontal="center" vertical="center"/>
    </xf>
    <xf numFmtId="10" fontId="0" fillId="0" borderId="29" xfId="178" applyNumberFormat="1" applyFont="1" applyBorder="1" applyAlignment="1">
      <alignment horizontal="center" vertical="center"/>
    </xf>
    <xf numFmtId="10" fontId="0" fillId="0" borderId="30" xfId="178" applyNumberFormat="1" applyFont="1" applyBorder="1" applyAlignment="1">
      <alignment horizontal="center" vertical="center"/>
    </xf>
    <xf numFmtId="0" fontId="3" fillId="0" borderId="25" xfId="76" applyBorder="1"/>
    <xf numFmtId="10" fontId="85" fillId="0" borderId="31" xfId="178" applyNumberFormat="1" applyFont="1" applyBorder="1" applyAlignment="1">
      <alignment horizontal="center" vertical="center" wrapText="1"/>
    </xf>
    <xf numFmtId="0" fontId="86" fillId="0" borderId="40" xfId="177" applyFont="1" applyBorder="1" applyAlignment="1">
      <alignment horizontal="center" vertical="center" wrapText="1"/>
    </xf>
    <xf numFmtId="0" fontId="86" fillId="0" borderId="36" xfId="177" applyFont="1" applyBorder="1" applyAlignment="1">
      <alignment horizontal="center" vertical="center" wrapText="1"/>
    </xf>
    <xf numFmtId="0" fontId="86" fillId="0" borderId="33" xfId="177" applyFont="1" applyBorder="1" applyAlignment="1">
      <alignment horizontal="center" vertical="center" wrapText="1"/>
    </xf>
    <xf numFmtId="0" fontId="0" fillId="0" borderId="31" xfId="177" applyFont="1" applyBorder="1" applyAlignment="1">
      <alignment horizontal="center" vertical="center"/>
    </xf>
    <xf numFmtId="10" fontId="3" fillId="79" borderId="33" xfId="178" applyNumberFormat="1" applyFont="1" applyFill="1" applyBorder="1" applyAlignment="1" applyProtection="1">
      <alignment horizontal="center" vertical="center"/>
      <protection locked="0"/>
    </xf>
    <xf numFmtId="10" fontId="85" fillId="0" borderId="87" xfId="178" applyNumberFormat="1" applyFont="1" applyBorder="1" applyAlignment="1">
      <alignment horizontal="center" vertical="center" wrapText="1"/>
    </xf>
    <xf numFmtId="0" fontId="86" fillId="0" borderId="98" xfId="177" applyFont="1" applyBorder="1" applyAlignment="1">
      <alignment horizontal="center" vertical="center" wrapText="1"/>
    </xf>
    <xf numFmtId="0" fontId="86" fillId="0" borderId="99" xfId="177" applyFont="1" applyBorder="1" applyAlignment="1">
      <alignment horizontal="center" vertical="center" wrapText="1"/>
    </xf>
    <xf numFmtId="0" fontId="86" fillId="0" borderId="89" xfId="177" applyFont="1" applyBorder="1" applyAlignment="1">
      <alignment horizontal="center" vertical="center" wrapText="1"/>
    </xf>
    <xf numFmtId="10" fontId="0" fillId="0" borderId="102" xfId="178" applyNumberFormat="1" applyFont="1" applyBorder="1" applyAlignment="1">
      <alignment horizontal="center" vertical="center"/>
    </xf>
    <xf numFmtId="10" fontId="0" fillId="0" borderId="105" xfId="178" applyNumberFormat="1" applyFont="1" applyBorder="1" applyAlignment="1">
      <alignment horizontal="center" vertical="center"/>
    </xf>
    <xf numFmtId="0" fontId="0" fillId="0" borderId="32" xfId="177" applyFont="1" applyBorder="1" applyAlignment="1">
      <alignment vertical="center"/>
    </xf>
    <xf numFmtId="191" fontId="4" fillId="0" borderId="24" xfId="177" applyNumberFormat="1" applyFont="1" applyBorder="1" applyAlignment="1">
      <alignment horizontal="center" vertical="center" wrapText="1"/>
    </xf>
    <xf numFmtId="191" fontId="0" fillId="0" borderId="0" xfId="177" applyNumberFormat="1" applyFont="1" applyAlignment="1">
      <alignment vertical="center"/>
    </xf>
    <xf numFmtId="10" fontId="0" fillId="0" borderId="0" xfId="178" applyNumberFormat="1" applyFont="1" applyBorder="1" applyAlignment="1">
      <alignment vertical="center"/>
    </xf>
    <xf numFmtId="10" fontId="0" fillId="0" borderId="25" xfId="178" applyNumberFormat="1" applyFont="1" applyBorder="1" applyAlignment="1">
      <alignment vertical="center"/>
    </xf>
    <xf numFmtId="0" fontId="0" fillId="0" borderId="24" xfId="177" applyFont="1" applyBorder="1" applyAlignment="1">
      <alignment horizontal="center" vertical="center"/>
    </xf>
    <xf numFmtId="0" fontId="4" fillId="0" borderId="0" xfId="177" applyFont="1" applyAlignment="1">
      <alignment horizontal="center" vertical="center"/>
    </xf>
    <xf numFmtId="0" fontId="0" fillId="0" borderId="24" xfId="177" applyFont="1" applyBorder="1" applyAlignment="1">
      <alignment horizontal="right" vertical="center"/>
    </xf>
    <xf numFmtId="0" fontId="0" fillId="0" borderId="0" xfId="177" applyFont="1" applyAlignment="1">
      <alignment horizontal="right" vertical="center"/>
    </xf>
    <xf numFmtId="164" fontId="87" fillId="0" borderId="0" xfId="178" applyNumberFormat="1" applyFont="1" applyBorder="1" applyAlignment="1">
      <alignment vertical="center"/>
    </xf>
    <xf numFmtId="10" fontId="50" fillId="0" borderId="0" xfId="177" applyNumberFormat="1" applyFont="1" applyAlignment="1">
      <alignment vertical="center"/>
    </xf>
    <xf numFmtId="10" fontId="50" fillId="0" borderId="35" xfId="177" applyNumberFormat="1" applyFont="1" applyBorder="1" applyAlignment="1">
      <alignment vertical="center"/>
    </xf>
    <xf numFmtId="10" fontId="0" fillId="0" borderId="35" xfId="178" applyNumberFormat="1" applyFont="1" applyBorder="1" applyAlignment="1">
      <alignment vertical="center"/>
    </xf>
    <xf numFmtId="10" fontId="0" fillId="0" borderId="83" xfId="178" applyNumberFormat="1" applyFont="1" applyBorder="1" applyAlignment="1">
      <alignment vertical="center"/>
    </xf>
    <xf numFmtId="1" fontId="51" fillId="0" borderId="0" xfId="254" applyNumberFormat="1" applyFont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0" fillId="0" borderId="24" xfId="0" applyFont="1" applyBorder="1" applyAlignment="1">
      <alignment horizontal="center" vertical="center"/>
    </xf>
    <xf numFmtId="10" fontId="50" fillId="0" borderId="30" xfId="108" applyNumberFormat="1" applyFont="1" applyBorder="1" applyAlignment="1">
      <alignment horizontal="center" vertical="center"/>
    </xf>
    <xf numFmtId="10" fontId="49" fillId="0" borderId="0" xfId="175" applyNumberFormat="1" applyFont="1" applyAlignment="1">
      <alignment vertical="center"/>
    </xf>
    <xf numFmtId="10" fontId="50" fillId="0" borderId="33" xfId="108" applyNumberFormat="1" applyFont="1" applyBorder="1" applyAlignment="1">
      <alignment horizontal="center" vertical="center"/>
    </xf>
    <xf numFmtId="9" fontId="49" fillId="0" borderId="0" xfId="175" applyFont="1" applyAlignment="1">
      <alignment vertical="center"/>
    </xf>
    <xf numFmtId="0" fontId="52" fillId="0" borderId="20" xfId="0" applyFont="1" applyBorder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0" fontId="2" fillId="80" borderId="81" xfId="0" applyFont="1" applyFill="1" applyBorder="1"/>
    <xf numFmtId="0" fontId="0" fillId="81" borderId="107" xfId="0" applyFill="1" applyBorder="1"/>
    <xf numFmtId="0" fontId="0" fillId="81" borderId="108" xfId="0" applyFill="1" applyBorder="1"/>
    <xf numFmtId="0" fontId="0" fillId="81" borderId="109" xfId="0" applyFill="1" applyBorder="1"/>
    <xf numFmtId="0" fontId="0" fillId="0" borderId="76" xfId="0" applyBorder="1"/>
    <xf numFmtId="0" fontId="0" fillId="0" borderId="49" xfId="0" applyBorder="1"/>
    <xf numFmtId="0" fontId="0" fillId="0" borderId="77" xfId="0" applyBorder="1"/>
    <xf numFmtId="0" fontId="0" fillId="81" borderId="76" xfId="0" applyFill="1" applyBorder="1"/>
    <xf numFmtId="0" fontId="0" fillId="81" borderId="49" xfId="0" applyFill="1" applyBorder="1"/>
    <xf numFmtId="0" fontId="79" fillId="81" borderId="49" xfId="0" applyFont="1" applyFill="1" applyBorder="1"/>
    <xf numFmtId="0" fontId="0" fillId="81" borderId="77" xfId="0" applyFill="1" applyBorder="1"/>
    <xf numFmtId="0" fontId="79" fillId="0" borderId="49" xfId="0" applyFont="1" applyBorder="1"/>
    <xf numFmtId="9" fontId="0" fillId="0" borderId="49" xfId="0" applyNumberFormat="1" applyBorder="1"/>
    <xf numFmtId="0" fontId="0" fillId="0" borderId="111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34" xfId="0" applyBorder="1"/>
    <xf numFmtId="0" fontId="90" fillId="0" borderId="35" xfId="0" applyFont="1" applyBorder="1" applyAlignment="1">
      <alignment wrapText="1"/>
    </xf>
    <xf numFmtId="0" fontId="0" fillId="0" borderId="35" xfId="0" applyBorder="1"/>
    <xf numFmtId="0" fontId="0" fillId="0" borderId="83" xfId="0" applyBorder="1"/>
    <xf numFmtId="1" fontId="49" fillId="0" borderId="0" xfId="175" applyNumberFormat="1" applyFont="1" applyAlignment="1">
      <alignment vertical="center"/>
    </xf>
    <xf numFmtId="0" fontId="53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/>
    </xf>
    <xf numFmtId="0" fontId="51" fillId="0" borderId="0" xfId="254" applyFont="1" applyAlignment="1">
      <alignment horizontal="left" vertical="center"/>
    </xf>
    <xf numFmtId="0" fontId="52" fillId="0" borderId="0" xfId="0" applyFont="1" applyAlignment="1">
      <alignment horizontal="left" vertical="center"/>
    </xf>
    <xf numFmtId="2" fontId="49" fillId="0" borderId="0" xfId="0" applyNumberFormat="1" applyFont="1" applyAlignment="1">
      <alignment horizontal="left" vertical="center" wrapText="1"/>
    </xf>
    <xf numFmtId="0" fontId="50" fillId="0" borderId="0" xfId="0" applyFont="1" applyAlignment="1">
      <alignment horizontal="center" vertical="center"/>
    </xf>
    <xf numFmtId="170" fontId="51" fillId="0" borderId="24" xfId="0" applyNumberFormat="1" applyFont="1" applyBorder="1" applyAlignment="1">
      <alignment vertical="center"/>
    </xf>
    <xf numFmtId="170" fontId="51" fillId="0" borderId="24" xfId="0" applyNumberFormat="1" applyFont="1" applyBorder="1" applyAlignment="1">
      <alignment vertical="center" wrapText="1"/>
    </xf>
    <xf numFmtId="170" fontId="49" fillId="0" borderId="24" xfId="0" applyNumberFormat="1" applyFont="1" applyBorder="1" applyAlignment="1">
      <alignment vertical="center"/>
    </xf>
    <xf numFmtId="0" fontId="49" fillId="0" borderId="24" xfId="0" applyFont="1" applyBorder="1" applyAlignment="1">
      <alignment vertical="center"/>
    </xf>
    <xf numFmtId="170" fontId="50" fillId="0" borderId="24" xfId="0" applyNumberFormat="1" applyFont="1" applyBorder="1" applyAlignment="1">
      <alignment vertical="center"/>
    </xf>
    <xf numFmtId="164" fontId="0" fillId="0" borderId="0" xfId="174" applyNumberFormat="1" applyFont="1" applyBorder="1" applyAlignment="1">
      <alignment horizontal="right" vertical="center"/>
    </xf>
    <xf numFmtId="170" fontId="0" fillId="0" borderId="25" xfId="0" applyNumberFormat="1" applyBorder="1" applyAlignment="1">
      <alignment vertical="center"/>
    </xf>
    <xf numFmtId="0" fontId="50" fillId="0" borderId="0" xfId="0" applyFont="1" applyAlignment="1">
      <alignment horizontal="center" vertical="center" wrapText="1"/>
    </xf>
    <xf numFmtId="0" fontId="49" fillId="0" borderId="76" xfId="0" applyFont="1" applyBorder="1" applyAlignment="1">
      <alignment horizontal="center" vertical="center"/>
    </xf>
    <xf numFmtId="0" fontId="49" fillId="0" borderId="49" xfId="0" applyFont="1" applyBorder="1" applyAlignment="1">
      <alignment horizontal="center" vertical="center"/>
    </xf>
    <xf numFmtId="44" fontId="49" fillId="0" borderId="49" xfId="370" applyFont="1" applyBorder="1" applyAlignment="1">
      <alignment horizontal="center" vertical="center"/>
    </xf>
    <xf numFmtId="0" fontId="52" fillId="0" borderId="76" xfId="0" applyFont="1" applyBorder="1" applyAlignment="1">
      <alignment horizontal="left" vertical="center" wrapText="1"/>
    </xf>
    <xf numFmtId="0" fontId="49" fillId="0" borderId="49" xfId="0" applyFont="1" applyBorder="1" applyAlignment="1">
      <alignment horizontal="left" vertical="center" wrapText="1"/>
    </xf>
    <xf numFmtId="167" fontId="49" fillId="0" borderId="77" xfId="0" applyNumberFormat="1" applyFont="1" applyBorder="1" applyAlignment="1">
      <alignment horizontal="center" vertical="center"/>
    </xf>
    <xf numFmtId="1" fontId="52" fillId="0" borderId="49" xfId="0" applyNumberFormat="1" applyFont="1" applyBorder="1" applyAlignment="1">
      <alignment horizontal="center" vertical="center" wrapText="1"/>
    </xf>
    <xf numFmtId="0" fontId="52" fillId="0" borderId="49" xfId="0" applyFont="1" applyBorder="1" applyAlignment="1">
      <alignment horizontal="left" vertical="center" wrapText="1"/>
    </xf>
    <xf numFmtId="0" fontId="52" fillId="0" borderId="49" xfId="0" applyFont="1" applyBorder="1" applyAlignment="1">
      <alignment horizontal="center" vertical="center" wrapText="1"/>
    </xf>
    <xf numFmtId="49" fontId="49" fillId="0" borderId="49" xfId="0" applyNumberFormat="1" applyFont="1" applyBorder="1" applyAlignment="1">
      <alignment horizontal="center" vertical="center"/>
    </xf>
    <xf numFmtId="49" fontId="49" fillId="0" borderId="111" xfId="0" applyNumberFormat="1" applyFont="1" applyBorder="1" applyAlignment="1">
      <alignment horizontal="center" vertical="center"/>
    </xf>
    <xf numFmtId="0" fontId="49" fillId="0" borderId="111" xfId="0" applyFont="1" applyBorder="1" applyAlignment="1">
      <alignment horizontal="center" vertical="center"/>
    </xf>
    <xf numFmtId="167" fontId="49" fillId="0" borderId="112" xfId="0" applyNumberFormat="1" applyFont="1" applyBorder="1" applyAlignment="1">
      <alignment horizontal="center" vertical="center"/>
    </xf>
    <xf numFmtId="0" fontId="50" fillId="82" borderId="114" xfId="0" applyFont="1" applyFill="1" applyBorder="1" applyAlignment="1">
      <alignment horizontal="left" vertical="center" wrapText="1"/>
    </xf>
    <xf numFmtId="49" fontId="50" fillId="82" borderId="115" xfId="0" applyNumberFormat="1" applyFont="1" applyFill="1" applyBorder="1" applyAlignment="1">
      <alignment horizontal="center" vertical="center" wrapText="1"/>
    </xf>
    <xf numFmtId="0" fontId="53" fillId="82" borderId="115" xfId="0" applyFont="1" applyFill="1" applyBorder="1" applyAlignment="1">
      <alignment horizontal="left" vertical="center" wrapText="1"/>
    </xf>
    <xf numFmtId="0" fontId="50" fillId="82" borderId="115" xfId="0" applyFont="1" applyFill="1" applyBorder="1" applyAlignment="1">
      <alignment horizontal="center" vertical="center" wrapText="1"/>
    </xf>
    <xf numFmtId="167" fontId="50" fillId="82" borderId="115" xfId="0" applyNumberFormat="1" applyFont="1" applyFill="1" applyBorder="1" applyAlignment="1">
      <alignment horizontal="center" vertical="center" wrapText="1"/>
    </xf>
    <xf numFmtId="167" fontId="50" fillId="82" borderId="116" xfId="0" applyNumberFormat="1" applyFont="1" applyFill="1" applyBorder="1" applyAlignment="1">
      <alignment horizontal="center" vertical="center" wrapText="1"/>
    </xf>
    <xf numFmtId="0" fontId="49" fillId="0" borderId="49" xfId="0" applyFont="1" applyBorder="1" applyAlignment="1">
      <alignment horizontal="center"/>
    </xf>
    <xf numFmtId="44" fontId="49" fillId="0" borderId="49" xfId="370" applyFont="1" applyBorder="1" applyAlignment="1">
      <alignment vertical="center"/>
    </xf>
    <xf numFmtId="0" fontId="49" fillId="0" borderId="76" xfId="0" applyFont="1" applyBorder="1" applyAlignment="1">
      <alignment vertical="center"/>
    </xf>
    <xf numFmtId="0" fontId="52" fillId="0" borderId="76" xfId="0" applyFont="1" applyBorder="1" applyAlignment="1">
      <alignment horizontal="center" vertical="center" wrapText="1"/>
    </xf>
    <xf numFmtId="0" fontId="51" fillId="0" borderId="49" xfId="254" applyFont="1" applyBorder="1" applyAlignment="1">
      <alignment horizontal="left" vertical="center" wrapText="1"/>
    </xf>
    <xf numFmtId="0" fontId="51" fillId="0" borderId="49" xfId="254" applyFont="1" applyBorder="1" applyAlignment="1">
      <alignment horizontal="center" vertical="center"/>
    </xf>
    <xf numFmtId="0" fontId="49" fillId="0" borderId="49" xfId="0" applyFont="1" applyBorder="1" applyAlignment="1">
      <alignment horizontal="center" vertical="center" wrapText="1"/>
    </xf>
    <xf numFmtId="0" fontId="91" fillId="0" borderId="0" xfId="0" applyFont="1" applyAlignment="1">
      <alignment horizontal="left" vertical="center" wrapText="1"/>
    </xf>
    <xf numFmtId="0" fontId="52" fillId="0" borderId="20" xfId="0" applyFont="1" applyBorder="1" applyAlignment="1">
      <alignment horizontal="left" vertical="center"/>
    </xf>
    <xf numFmtId="1" fontId="52" fillId="0" borderId="0" xfId="0" applyNumberFormat="1" applyFont="1" applyAlignment="1">
      <alignment horizontal="center" vertical="center"/>
    </xf>
    <xf numFmtId="0" fontId="49" fillId="0" borderId="49" xfId="0" applyFont="1" applyBorder="1" applyAlignment="1">
      <alignment vertical="center" wrapText="1"/>
    </xf>
    <xf numFmtId="0" fontId="49" fillId="0" borderId="49" xfId="0" applyFont="1" applyBorder="1" applyAlignment="1">
      <alignment vertical="center"/>
    </xf>
    <xf numFmtId="43" fontId="52" fillId="0" borderId="49" xfId="369" applyFont="1" applyBorder="1" applyAlignment="1">
      <alignment horizontal="center" vertical="center" wrapText="1"/>
    </xf>
    <xf numFmtId="44" fontId="52" fillId="0" borderId="49" xfId="174" applyFont="1" applyFill="1" applyBorder="1" applyAlignment="1">
      <alignment horizontal="right" vertical="center" wrapText="1"/>
    </xf>
    <xf numFmtId="44" fontId="52" fillId="0" borderId="77" xfId="174" applyFont="1" applyFill="1" applyBorder="1" applyAlignment="1">
      <alignment horizontal="right" vertical="center" wrapText="1"/>
    </xf>
    <xf numFmtId="0" fontId="52" fillId="0" borderId="49" xfId="0" applyFont="1" applyBorder="1" applyAlignment="1">
      <alignment vertical="center" wrapText="1"/>
    </xf>
    <xf numFmtId="0" fontId="51" fillId="0" borderId="49" xfId="254" applyFont="1" applyBorder="1" applyAlignment="1">
      <alignment vertical="center"/>
    </xf>
    <xf numFmtId="0" fontId="52" fillId="0" borderId="49" xfId="0" applyFont="1" applyBorder="1" applyAlignment="1">
      <alignment horizontal="right" vertical="center" wrapText="1"/>
    </xf>
    <xf numFmtId="49" fontId="52" fillId="0" borderId="49" xfId="0" applyNumberFormat="1" applyFont="1" applyBorder="1" applyAlignment="1">
      <alignment horizontal="right" vertical="center" wrapText="1"/>
    </xf>
    <xf numFmtId="0" fontId="50" fillId="56" borderId="76" xfId="0" applyFont="1" applyFill="1" applyBorder="1" applyAlignment="1">
      <alignment vertical="center" wrapText="1"/>
    </xf>
    <xf numFmtId="0" fontId="50" fillId="56" borderId="49" xfId="0" applyFont="1" applyFill="1" applyBorder="1" applyAlignment="1">
      <alignment vertical="center" wrapText="1"/>
    </xf>
    <xf numFmtId="0" fontId="50" fillId="56" borderId="49" xfId="0" applyFont="1" applyFill="1" applyBorder="1" applyAlignment="1">
      <alignment horizontal="center" vertical="center" wrapText="1"/>
    </xf>
    <xf numFmtId="0" fontId="51" fillId="56" borderId="76" xfId="0" applyFont="1" applyFill="1" applyBorder="1" applyAlignment="1">
      <alignment vertical="center" wrapText="1"/>
    </xf>
    <xf numFmtId="0" fontId="49" fillId="0" borderId="77" xfId="0" applyFont="1" applyBorder="1" applyAlignment="1">
      <alignment vertical="center"/>
    </xf>
    <xf numFmtId="0" fontId="51" fillId="0" borderId="49" xfId="0" applyFont="1" applyBorder="1" applyAlignment="1">
      <alignment vertical="center" wrapText="1"/>
    </xf>
    <xf numFmtId="4" fontId="52" fillId="0" borderId="49" xfId="0" applyNumberFormat="1" applyFont="1" applyBorder="1" applyAlignment="1">
      <alignment horizontal="right" vertical="center" wrapText="1"/>
    </xf>
    <xf numFmtId="0" fontId="93" fillId="58" borderId="76" xfId="0" applyFont="1" applyFill="1" applyBorder="1" applyAlignment="1">
      <alignment horizontal="left" vertical="center" wrapText="1"/>
    </xf>
    <xf numFmtId="0" fontId="93" fillId="58" borderId="49" xfId="0" applyFont="1" applyFill="1" applyBorder="1" applyAlignment="1">
      <alignment horizontal="left" vertical="center" wrapText="1"/>
    </xf>
    <xf numFmtId="4" fontId="93" fillId="58" borderId="77" xfId="0" applyNumberFormat="1" applyFont="1" applyFill="1" applyBorder="1" applyAlignment="1">
      <alignment horizontal="right" vertical="center" wrapText="1"/>
    </xf>
    <xf numFmtId="0" fontId="94" fillId="0" borderId="76" xfId="0" applyFont="1" applyBorder="1" applyAlignment="1">
      <alignment horizontal="left" vertical="center" wrapText="1"/>
    </xf>
    <xf numFmtId="0" fontId="94" fillId="0" borderId="49" xfId="0" applyFont="1" applyBorder="1" applyAlignment="1">
      <alignment horizontal="right" vertical="center" wrapText="1"/>
    </xf>
    <xf numFmtId="0" fontId="94" fillId="0" borderId="49" xfId="0" applyFont="1" applyBorder="1" applyAlignment="1">
      <alignment horizontal="center" vertical="center" wrapText="1"/>
    </xf>
    <xf numFmtId="44" fontId="94" fillId="0" borderId="49" xfId="174" applyFont="1" applyFill="1" applyBorder="1" applyAlignment="1">
      <alignment horizontal="right" vertical="center" wrapText="1"/>
    </xf>
    <xf numFmtId="44" fontId="94" fillId="0" borderId="77" xfId="174" applyFont="1" applyFill="1" applyBorder="1" applyAlignment="1">
      <alignment horizontal="right" vertical="center" wrapText="1"/>
    </xf>
    <xf numFmtId="2" fontId="52" fillId="0" borderId="49" xfId="174" applyNumberFormat="1" applyFont="1" applyFill="1" applyBorder="1" applyAlignment="1">
      <alignment horizontal="right" vertical="center" wrapText="1"/>
    </xf>
    <xf numFmtId="2" fontId="93" fillId="58" borderId="49" xfId="0" applyNumberFormat="1" applyFont="1" applyFill="1" applyBorder="1" applyAlignment="1">
      <alignment horizontal="right" vertical="center" wrapText="1"/>
    </xf>
    <xf numFmtId="2" fontId="0" fillId="0" borderId="0" xfId="173" applyNumberFormat="1" applyFont="1" applyBorder="1" applyAlignment="1">
      <alignment horizontal="right" vertical="center"/>
    </xf>
    <xf numFmtId="2" fontId="51" fillId="0" borderId="0" xfId="173" applyNumberFormat="1" applyFont="1" applyBorder="1" applyAlignment="1">
      <alignment horizontal="right" vertical="center"/>
    </xf>
    <xf numFmtId="2" fontId="49" fillId="0" borderId="49" xfId="0" applyNumberFormat="1" applyFont="1" applyBorder="1" applyAlignment="1">
      <alignment horizontal="right" vertical="center"/>
    </xf>
    <xf numFmtId="2" fontId="49" fillId="0" borderId="49" xfId="0" applyNumberFormat="1" applyFont="1" applyBorder="1" applyAlignment="1">
      <alignment horizontal="right"/>
    </xf>
    <xf numFmtId="2" fontId="52" fillId="0" borderId="49" xfId="0" applyNumberFormat="1" applyFont="1" applyBorder="1" applyAlignment="1">
      <alignment horizontal="right" vertical="center" wrapText="1"/>
    </xf>
    <xf numFmtId="2" fontId="51" fillId="0" borderId="49" xfId="174" applyNumberFormat="1" applyFont="1" applyFill="1" applyBorder="1" applyAlignment="1">
      <alignment horizontal="right" vertical="center" wrapText="1"/>
    </xf>
    <xf numFmtId="2" fontId="50" fillId="56" borderId="49" xfId="0" applyNumberFormat="1" applyFont="1" applyFill="1" applyBorder="1" applyAlignment="1">
      <alignment horizontal="right" vertical="center" wrapText="1"/>
    </xf>
    <xf numFmtId="2" fontId="51" fillId="56" borderId="49" xfId="0" applyNumberFormat="1" applyFont="1" applyFill="1" applyBorder="1" applyAlignment="1">
      <alignment horizontal="right" vertical="center" wrapText="1"/>
    </xf>
    <xf numFmtId="2" fontId="49" fillId="0" borderId="0" xfId="0" applyNumberFormat="1" applyFont="1" applyAlignment="1">
      <alignment horizontal="right" vertical="center"/>
    </xf>
    <xf numFmtId="167" fontId="49" fillId="0" borderId="49" xfId="0" applyNumberFormat="1" applyFont="1" applyBorder="1" applyAlignment="1">
      <alignment horizontal="center" vertical="center"/>
    </xf>
    <xf numFmtId="167" fontId="49" fillId="0" borderId="111" xfId="0" applyNumberFormat="1" applyFont="1" applyBorder="1" applyAlignment="1">
      <alignment horizontal="center" vertical="center"/>
    </xf>
    <xf numFmtId="0" fontId="51" fillId="0" borderId="49" xfId="254" applyFont="1" applyBorder="1" applyAlignment="1">
      <alignment vertical="center" wrapText="1"/>
    </xf>
    <xf numFmtId="0" fontId="92" fillId="56" borderId="114" xfId="0" applyFont="1" applyFill="1" applyBorder="1" applyAlignment="1">
      <alignment horizontal="center" vertical="center" wrapText="1"/>
    </xf>
    <xf numFmtId="0" fontId="92" fillId="56" borderId="115" xfId="0" applyFont="1" applyFill="1" applyBorder="1" applyAlignment="1">
      <alignment horizontal="center" vertical="center" wrapText="1"/>
    </xf>
    <xf numFmtId="2" fontId="92" fillId="56" borderId="115" xfId="0" applyNumberFormat="1" applyFont="1" applyFill="1" applyBorder="1" applyAlignment="1">
      <alignment horizontal="center" vertical="center" wrapText="1"/>
    </xf>
    <xf numFmtId="0" fontId="92" fillId="56" borderId="116" xfId="0" applyFont="1" applyFill="1" applyBorder="1" applyAlignment="1">
      <alignment horizontal="center" vertical="center" wrapText="1"/>
    </xf>
    <xf numFmtId="0" fontId="89" fillId="57" borderId="76" xfId="0" applyFont="1" applyFill="1" applyBorder="1" applyAlignment="1">
      <alignment horizontal="left" vertical="center" wrapText="1"/>
    </xf>
    <xf numFmtId="0" fontId="89" fillId="57" borderId="49" xfId="0" applyFont="1" applyFill="1" applyBorder="1" applyAlignment="1">
      <alignment horizontal="left" vertical="center" wrapText="1"/>
    </xf>
    <xf numFmtId="0" fontId="89" fillId="57" borderId="49" xfId="0" applyFont="1" applyFill="1" applyBorder="1" applyAlignment="1">
      <alignment vertical="center" wrapText="1"/>
    </xf>
    <xf numFmtId="2" fontId="89" fillId="57" borderId="49" xfId="0" applyNumberFormat="1" applyFont="1" applyFill="1" applyBorder="1" applyAlignment="1">
      <alignment horizontal="right" vertical="center" wrapText="1"/>
    </xf>
    <xf numFmtId="167" fontId="89" fillId="57" borderId="77" xfId="0" applyNumberFormat="1" applyFont="1" applyFill="1" applyBorder="1" applyAlignment="1">
      <alignment horizontal="right" vertical="center" wrapText="1"/>
    </xf>
    <xf numFmtId="0" fontId="89" fillId="58" borderId="76" xfId="0" applyFont="1" applyFill="1" applyBorder="1" applyAlignment="1">
      <alignment horizontal="left" vertical="center" wrapText="1"/>
    </xf>
    <xf numFmtId="0" fontId="89" fillId="58" borderId="49" xfId="0" applyFont="1" applyFill="1" applyBorder="1" applyAlignment="1">
      <alignment horizontal="left" vertical="center" wrapText="1"/>
    </xf>
    <xf numFmtId="0" fontId="89" fillId="58" borderId="49" xfId="0" applyFont="1" applyFill="1" applyBorder="1" applyAlignment="1">
      <alignment vertical="center" wrapText="1"/>
    </xf>
    <xf numFmtId="2" fontId="89" fillId="58" borderId="49" xfId="0" applyNumberFormat="1" applyFont="1" applyFill="1" applyBorder="1" applyAlignment="1">
      <alignment horizontal="right" vertical="center" wrapText="1"/>
    </xf>
    <xf numFmtId="4" fontId="89" fillId="58" borderId="77" xfId="0" applyNumberFormat="1" applyFont="1" applyFill="1" applyBorder="1" applyAlignment="1">
      <alignment horizontal="right" vertical="center" wrapText="1"/>
    </xf>
    <xf numFmtId="0" fontId="54" fillId="0" borderId="49" xfId="0" applyFont="1" applyBorder="1" applyAlignment="1">
      <alignment horizontal="center" vertical="center"/>
    </xf>
    <xf numFmtId="0" fontId="89" fillId="58" borderId="76" xfId="0" applyFont="1" applyFill="1" applyBorder="1" applyAlignment="1">
      <alignment vertical="center" wrapText="1"/>
    </xf>
    <xf numFmtId="1" fontId="51" fillId="0" borderId="49" xfId="254" applyNumberFormat="1" applyFont="1" applyBorder="1" applyAlignment="1">
      <alignment horizontal="center" vertical="center"/>
    </xf>
    <xf numFmtId="1" fontId="52" fillId="0" borderId="49" xfId="0" applyNumberFormat="1" applyFont="1" applyBorder="1" applyAlignment="1">
      <alignment horizontal="center" vertical="center"/>
    </xf>
    <xf numFmtId="0" fontId="93" fillId="57" borderId="76" xfId="0" applyFont="1" applyFill="1" applyBorder="1" applyAlignment="1">
      <alignment horizontal="left" vertical="center" wrapText="1"/>
    </xf>
    <xf numFmtId="0" fontId="93" fillId="57" borderId="49" xfId="0" applyFont="1" applyFill="1" applyBorder="1" applyAlignment="1">
      <alignment horizontal="left" vertical="center" wrapText="1"/>
    </xf>
    <xf numFmtId="2" fontId="93" fillId="57" borderId="49" xfId="0" applyNumberFormat="1" applyFont="1" applyFill="1" applyBorder="1" applyAlignment="1">
      <alignment horizontal="right" vertical="center" wrapText="1"/>
    </xf>
    <xf numFmtId="4" fontId="93" fillId="57" borderId="77" xfId="0" applyNumberFormat="1" applyFont="1" applyFill="1" applyBorder="1" applyAlignment="1">
      <alignment horizontal="right" vertical="center" wrapText="1"/>
    </xf>
    <xf numFmtId="0" fontId="94" fillId="0" borderId="110" xfId="0" applyFont="1" applyBorder="1" applyAlignment="1">
      <alignment horizontal="left" vertical="center" wrapText="1"/>
    </xf>
    <xf numFmtId="0" fontId="94" fillId="0" borderId="111" xfId="0" applyFont="1" applyBorder="1" applyAlignment="1">
      <alignment horizontal="right" vertical="center" wrapText="1"/>
    </xf>
    <xf numFmtId="0" fontId="94" fillId="0" borderId="111" xfId="0" applyFont="1" applyBorder="1" applyAlignment="1">
      <alignment horizontal="center" vertical="center" wrapText="1"/>
    </xf>
    <xf numFmtId="2" fontId="94" fillId="0" borderId="111" xfId="0" applyNumberFormat="1" applyFont="1" applyBorder="1" applyAlignment="1">
      <alignment horizontal="right" vertical="center" wrapText="1"/>
    </xf>
    <xf numFmtId="0" fontId="49" fillId="0" borderId="21" xfId="0" applyFont="1" applyBorder="1" applyAlignment="1">
      <alignment vertical="center"/>
    </xf>
    <xf numFmtId="0" fontId="49" fillId="0" borderId="22" xfId="0" applyFont="1" applyBorder="1" applyAlignment="1">
      <alignment vertical="center"/>
    </xf>
    <xf numFmtId="0" fontId="49" fillId="0" borderId="34" xfId="0" applyFont="1" applyBorder="1" applyAlignment="1">
      <alignment vertical="center"/>
    </xf>
    <xf numFmtId="0" fontId="49" fillId="0" borderId="113" xfId="0" applyFont="1" applyBorder="1" applyAlignment="1">
      <alignment vertical="center"/>
    </xf>
    <xf numFmtId="0" fontId="95" fillId="0" borderId="117" xfId="0" applyFont="1" applyBorder="1" applyAlignment="1">
      <alignment vertical="center"/>
    </xf>
    <xf numFmtId="2" fontId="95" fillId="0" borderId="22" xfId="0" applyNumberFormat="1" applyFont="1" applyBorder="1" applyAlignment="1">
      <alignment horizontal="right" vertical="center"/>
    </xf>
    <xf numFmtId="0" fontId="95" fillId="0" borderId="22" xfId="0" applyFont="1" applyBorder="1" applyAlignment="1">
      <alignment vertical="center"/>
    </xf>
    <xf numFmtId="0" fontId="95" fillId="0" borderId="98" xfId="0" applyFont="1" applyBorder="1" applyAlignment="1">
      <alignment vertical="center"/>
    </xf>
    <xf numFmtId="2" fontId="95" fillId="0" borderId="113" xfId="0" applyNumberFormat="1" applyFont="1" applyBorder="1" applyAlignment="1">
      <alignment horizontal="right" vertical="center"/>
    </xf>
    <xf numFmtId="0" fontId="95" fillId="0" borderId="113" xfId="0" applyFont="1" applyBorder="1" applyAlignment="1">
      <alignment vertical="center"/>
    </xf>
    <xf numFmtId="0" fontId="89" fillId="57" borderId="49" xfId="0" applyFont="1" applyFill="1" applyBorder="1" applyAlignment="1">
      <alignment horizontal="center" vertical="center" wrapText="1"/>
    </xf>
    <xf numFmtId="0" fontId="89" fillId="58" borderId="49" xfId="0" applyFont="1" applyFill="1" applyBorder="1" applyAlignment="1">
      <alignment horizontal="center" vertical="center" wrapText="1"/>
    </xf>
    <xf numFmtId="0" fontId="93" fillId="57" borderId="49" xfId="0" applyFont="1" applyFill="1" applyBorder="1" applyAlignment="1">
      <alignment horizontal="center" vertical="center" wrapText="1"/>
    </xf>
    <xf numFmtId="0" fontId="93" fillId="58" borderId="49" xfId="0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0" fontId="49" fillId="0" borderId="113" xfId="0" applyFont="1" applyBorder="1" applyAlignment="1">
      <alignment horizontal="center" vertical="center"/>
    </xf>
    <xf numFmtId="10" fontId="49" fillId="0" borderId="0" xfId="371" applyNumberFormat="1" applyFont="1" applyAlignment="1">
      <alignment vertical="center"/>
    </xf>
    <xf numFmtId="0" fontId="0" fillId="81" borderId="19" xfId="0" applyFill="1" applyBorder="1"/>
    <xf numFmtId="0" fontId="0" fillId="83" borderId="19" xfId="0" applyFill="1" applyBorder="1"/>
    <xf numFmtId="173" fontId="0" fillId="83" borderId="19" xfId="0" applyNumberFormat="1" applyFill="1" applyBorder="1"/>
    <xf numFmtId="175" fontId="0" fillId="83" borderId="19" xfId="0" applyNumberFormat="1" applyFill="1" applyBorder="1"/>
    <xf numFmtId="0" fontId="0" fillId="0" borderId="40" xfId="0" applyBorder="1"/>
    <xf numFmtId="0" fontId="0" fillId="0" borderId="41" xfId="0" applyBorder="1"/>
    <xf numFmtId="192" fontId="0" fillId="0" borderId="41" xfId="0" applyNumberFormat="1" applyBorder="1"/>
    <xf numFmtId="0" fontId="0" fillId="0" borderId="42" xfId="0" applyBorder="1"/>
    <xf numFmtId="192" fontId="0" fillId="0" borderId="0" xfId="0" applyNumberFormat="1"/>
    <xf numFmtId="175" fontId="0" fillId="0" borderId="0" xfId="0" applyNumberFormat="1"/>
    <xf numFmtId="175" fontId="0" fillId="0" borderId="43" xfId="0" applyNumberFormat="1" applyBorder="1"/>
    <xf numFmtId="173" fontId="0" fillId="0" borderId="0" xfId="0" applyNumberFormat="1"/>
    <xf numFmtId="0" fontId="0" fillId="0" borderId="44" xfId="0" applyBorder="1"/>
    <xf numFmtId="0" fontId="0" fillId="0" borderId="45" xfId="0" applyBorder="1"/>
    <xf numFmtId="173" fontId="0" fillId="0" borderId="45" xfId="0" applyNumberFormat="1" applyBorder="1"/>
    <xf numFmtId="175" fontId="0" fillId="0" borderId="46" xfId="0" applyNumberFormat="1" applyBorder="1"/>
    <xf numFmtId="0" fontId="0" fillId="0" borderId="32" xfId="0" applyBorder="1"/>
    <xf numFmtId="192" fontId="0" fillId="0" borderId="32" xfId="0" applyNumberFormat="1" applyBorder="1"/>
    <xf numFmtId="175" fontId="0" fillId="0" borderId="32" xfId="0" applyNumberFormat="1" applyBorder="1"/>
    <xf numFmtId="0" fontId="0" fillId="0" borderId="61" xfId="0" applyBorder="1"/>
    <xf numFmtId="192" fontId="0" fillId="0" borderId="61" xfId="0" applyNumberFormat="1" applyBorder="1"/>
    <xf numFmtId="175" fontId="0" fillId="0" borderId="61" xfId="0" applyNumberFormat="1" applyBorder="1"/>
    <xf numFmtId="173" fontId="0" fillId="0" borderId="61" xfId="0" applyNumberFormat="1" applyBorder="1"/>
    <xf numFmtId="0" fontId="0" fillId="0" borderId="47" xfId="0" applyBorder="1"/>
    <xf numFmtId="173" fontId="0" fillId="0" borderId="47" xfId="0" applyNumberFormat="1" applyBorder="1"/>
    <xf numFmtId="175" fontId="0" fillId="0" borderId="47" xfId="0" applyNumberFormat="1" applyBorder="1"/>
    <xf numFmtId="0" fontId="0" fillId="0" borderId="61" xfId="0" applyBorder="1" applyAlignment="1">
      <alignment wrapText="1"/>
    </xf>
    <xf numFmtId="0" fontId="0" fillId="0" borderId="32" xfId="0" applyBorder="1" applyAlignment="1">
      <alignment wrapText="1"/>
    </xf>
    <xf numFmtId="0" fontId="96" fillId="0" borderId="21" xfId="172" applyFont="1" applyBorder="1"/>
    <xf numFmtId="0" fontId="97" fillId="0" borderId="0" xfId="77" applyFont="1"/>
    <xf numFmtId="0" fontId="46" fillId="0" borderId="0" xfId="172"/>
    <xf numFmtId="0" fontId="96" fillId="0" borderId="24" xfId="172" applyFont="1" applyBorder="1"/>
    <xf numFmtId="0" fontId="96" fillId="0" borderId="34" xfId="172" applyFont="1" applyBorder="1"/>
    <xf numFmtId="0" fontId="96" fillId="0" borderId="22" xfId="172" applyFont="1" applyBorder="1"/>
    <xf numFmtId="0" fontId="85" fillId="0" borderId="24" xfId="172" applyFont="1" applyBorder="1" applyAlignment="1">
      <alignment horizontal="left" vertical="top" wrapText="1"/>
    </xf>
    <xf numFmtId="0" fontId="85" fillId="0" borderId="0" xfId="172" applyFont="1" applyAlignment="1">
      <alignment horizontal="left" vertical="top" wrapText="1"/>
    </xf>
    <xf numFmtId="0" fontId="85" fillId="0" borderId="24" xfId="172" applyFont="1" applyBorder="1" applyAlignment="1">
      <alignment horizontal="center" wrapText="1"/>
    </xf>
    <xf numFmtId="0" fontId="96" fillId="0" borderId="0" xfId="172" applyFont="1"/>
    <xf numFmtId="0" fontId="85" fillId="0" borderId="29" xfId="172" applyFont="1" applyBorder="1" applyAlignment="1">
      <alignment horizontal="center" vertical="center" wrapText="1"/>
    </xf>
    <xf numFmtId="0" fontId="85" fillId="0" borderId="118" xfId="172" applyFont="1" applyBorder="1" applyAlignment="1">
      <alignment horizontal="center" vertical="center" wrapText="1"/>
    </xf>
    <xf numFmtId="10" fontId="85" fillId="30" borderId="19" xfId="175" applyNumberFormat="1" applyFont="1" applyFill="1" applyBorder="1" applyAlignment="1">
      <alignment horizontal="right" vertical="center" wrapText="1"/>
    </xf>
    <xf numFmtId="10" fontId="96" fillId="30" borderId="19" xfId="175" applyNumberFormat="1" applyFont="1" applyFill="1" applyBorder="1" applyAlignment="1">
      <alignment horizontal="center" vertical="center" wrapText="1"/>
    </xf>
    <xf numFmtId="10" fontId="97" fillId="0" borderId="0" xfId="77" applyNumberFormat="1" applyFont="1"/>
    <xf numFmtId="4" fontId="85" fillId="0" borderId="19" xfId="172" applyNumberFormat="1" applyFont="1" applyBorder="1" applyAlignment="1">
      <alignment horizontal="right" vertical="center" wrapText="1"/>
    </xf>
    <xf numFmtId="43" fontId="97" fillId="0" borderId="0" xfId="77" applyNumberFormat="1" applyFont="1"/>
    <xf numFmtId="10" fontId="85" fillId="0" borderId="118" xfId="175" applyNumberFormat="1" applyFont="1" applyFill="1" applyBorder="1" applyAlignment="1">
      <alignment horizontal="right" vertical="center" wrapText="1"/>
    </xf>
    <xf numFmtId="43" fontId="85" fillId="0" borderId="19" xfId="172" applyNumberFormat="1" applyFont="1" applyBorder="1" applyAlignment="1">
      <alignment horizontal="right" vertical="center" wrapText="1"/>
    </xf>
    <xf numFmtId="10" fontId="85" fillId="0" borderId="19" xfId="172" applyNumberFormat="1" applyFont="1" applyBorder="1" applyAlignment="1">
      <alignment horizontal="right" vertical="center" wrapText="1"/>
    </xf>
    <xf numFmtId="43" fontId="85" fillId="0" borderId="81" xfId="172" applyNumberFormat="1" applyFont="1" applyBorder="1" applyAlignment="1">
      <alignment horizontal="right" vertical="center" wrapText="1"/>
    </xf>
    <xf numFmtId="4" fontId="97" fillId="0" borderId="0" xfId="77" applyNumberFormat="1" applyFont="1"/>
    <xf numFmtId="0" fontId="85" fillId="0" borderId="24" xfId="172" applyFont="1" applyBorder="1" applyAlignment="1">
      <alignment vertical="center" wrapText="1"/>
    </xf>
    <xf numFmtId="0" fontId="85" fillId="0" borderId="0" xfId="172" applyFont="1" applyAlignment="1">
      <alignment vertical="center" wrapText="1"/>
    </xf>
    <xf numFmtId="0" fontId="50" fillId="0" borderId="24" xfId="0" applyFont="1" applyBorder="1" applyAlignment="1">
      <alignment vertical="center" wrapText="1"/>
    </xf>
    <xf numFmtId="0" fontId="50" fillId="0" borderId="0" xfId="0" applyFont="1" applyAlignment="1">
      <alignment vertical="center" wrapText="1"/>
    </xf>
    <xf numFmtId="49" fontId="49" fillId="0" borderId="49" xfId="0" applyNumberFormat="1" applyFont="1" applyBorder="1" applyAlignment="1">
      <alignment horizontal="left" vertical="center"/>
    </xf>
    <xf numFmtId="0" fontId="49" fillId="0" borderId="108" xfId="0" applyFont="1" applyBorder="1" applyAlignment="1">
      <alignment horizontal="center" vertical="center"/>
    </xf>
    <xf numFmtId="1" fontId="52" fillId="0" borderId="108" xfId="0" applyNumberFormat="1" applyFont="1" applyBorder="1" applyAlignment="1">
      <alignment horizontal="center" vertical="center" wrapText="1"/>
    </xf>
    <xf numFmtId="44" fontId="89" fillId="58" borderId="77" xfId="0" applyNumberFormat="1" applyFont="1" applyFill="1" applyBorder="1" applyAlignment="1">
      <alignment vertical="center" wrapText="1"/>
    </xf>
    <xf numFmtId="49" fontId="49" fillId="0" borderId="60" xfId="0" applyNumberFormat="1" applyFont="1" applyBorder="1" applyAlignment="1">
      <alignment horizontal="center" vertical="center"/>
    </xf>
    <xf numFmtId="44" fontId="49" fillId="0" borderId="0" xfId="0" applyNumberFormat="1" applyFont="1" applyAlignment="1">
      <alignment vertical="center"/>
    </xf>
    <xf numFmtId="44" fontId="96" fillId="0" borderId="19" xfId="37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/>
    </xf>
    <xf numFmtId="49" fontId="51" fillId="0" borderId="39" xfId="0" applyNumberFormat="1" applyFont="1" applyBorder="1" applyAlignment="1">
      <alignment horizontal="left" vertical="center" wrapText="1"/>
    </xf>
    <xf numFmtId="0" fontId="0" fillId="81" borderId="60" xfId="0" applyFill="1" applyBorder="1"/>
    <xf numFmtId="0" fontId="0" fillId="0" borderId="74" xfId="0" applyBorder="1"/>
    <xf numFmtId="0" fontId="0" fillId="0" borderId="50" xfId="0" applyBorder="1"/>
    <xf numFmtId="0" fontId="0" fillId="0" borderId="75" xfId="0" applyBorder="1"/>
    <xf numFmtId="0" fontId="49" fillId="0" borderId="77" xfId="0" applyFont="1" applyBorder="1" applyAlignment="1">
      <alignment horizontal="center" vertical="center"/>
    </xf>
    <xf numFmtId="0" fontId="49" fillId="0" borderId="49" xfId="0" applyFont="1" applyBorder="1" applyAlignment="1">
      <alignment horizontal="left" vertical="center"/>
    </xf>
    <xf numFmtId="0" fontId="49" fillId="0" borderId="49" xfId="0" applyFont="1" applyBorder="1" applyAlignment="1">
      <alignment horizontal="left" wrapText="1"/>
    </xf>
    <xf numFmtId="0" fontId="0" fillId="0" borderId="119" xfId="0" applyBorder="1"/>
    <xf numFmtId="0" fontId="49" fillId="0" borderId="60" xfId="0" applyFont="1" applyBorder="1" applyAlignment="1">
      <alignment horizontal="left" wrapText="1"/>
    </xf>
    <xf numFmtId="0" fontId="49" fillId="0" borderId="60" xfId="0" applyFont="1" applyBorder="1" applyAlignment="1">
      <alignment horizontal="center" vertical="center"/>
    </xf>
    <xf numFmtId="0" fontId="0" fillId="0" borderId="60" xfId="0" applyBorder="1"/>
    <xf numFmtId="0" fontId="49" fillId="0" borderId="120" xfId="0" applyFont="1" applyBorder="1" applyAlignment="1">
      <alignment horizontal="center" vertical="center"/>
    </xf>
    <xf numFmtId="0" fontId="0" fillId="81" borderId="74" xfId="0" applyFill="1" applyBorder="1"/>
    <xf numFmtId="0" fontId="0" fillId="81" borderId="50" xfId="0" applyFill="1" applyBorder="1"/>
    <xf numFmtId="0" fontId="0" fillId="81" borderId="75" xfId="0" applyFill="1" applyBorder="1"/>
    <xf numFmtId="49" fontId="49" fillId="0" borderId="110" xfId="0" applyNumberFormat="1" applyFont="1" applyBorder="1" applyAlignment="1">
      <alignment horizontal="center"/>
    </xf>
    <xf numFmtId="0" fontId="49" fillId="0" borderId="111" xfId="0" applyFont="1" applyBorder="1" applyAlignment="1">
      <alignment horizontal="left" vertical="center" wrapText="1"/>
    </xf>
    <xf numFmtId="2" fontId="49" fillId="0" borderId="111" xfId="0" applyNumberFormat="1" applyFont="1" applyBorder="1" applyAlignment="1">
      <alignment horizontal="center" vertical="center"/>
    </xf>
    <xf numFmtId="2" fontId="0" fillId="0" borderId="112" xfId="0" applyNumberFormat="1" applyBorder="1"/>
    <xf numFmtId="2" fontId="49" fillId="0" borderId="60" xfId="0" applyNumberFormat="1" applyFont="1" applyBorder="1" applyAlignment="1">
      <alignment horizontal="right" vertical="center"/>
    </xf>
    <xf numFmtId="0" fontId="92" fillId="56" borderId="84" xfId="0" applyFont="1" applyFill="1" applyBorder="1" applyAlignment="1">
      <alignment horizontal="center" vertical="center" wrapText="1"/>
    </xf>
    <xf numFmtId="0" fontId="92" fillId="56" borderId="85" xfId="0" applyFont="1" applyFill="1" applyBorder="1" applyAlignment="1">
      <alignment horizontal="center" vertical="center" wrapText="1"/>
    </xf>
    <xf numFmtId="2" fontId="92" fillId="56" borderId="85" xfId="0" applyNumberFormat="1" applyFont="1" applyFill="1" applyBorder="1" applyAlignment="1">
      <alignment horizontal="center" vertical="center" wrapText="1"/>
    </xf>
    <xf numFmtId="0" fontId="92" fillId="56" borderId="86" xfId="0" applyFont="1" applyFill="1" applyBorder="1" applyAlignment="1">
      <alignment horizontal="center" vertical="center" wrapText="1"/>
    </xf>
    <xf numFmtId="0" fontId="52" fillId="0" borderId="107" xfId="0" applyFont="1" applyBorder="1" applyAlignment="1">
      <alignment horizontal="left" vertical="center" wrapText="1"/>
    </xf>
    <xf numFmtId="0" fontId="52" fillId="0" borderId="108" xfId="0" applyFont="1" applyBorder="1" applyAlignment="1">
      <alignment horizontal="right" vertical="center" wrapText="1"/>
    </xf>
    <xf numFmtId="0" fontId="52" fillId="0" borderId="108" xfId="0" applyFont="1" applyBorder="1" applyAlignment="1">
      <alignment horizontal="center" vertical="center" wrapText="1"/>
    </xf>
    <xf numFmtId="0" fontId="51" fillId="0" borderId="108" xfId="0" applyFont="1" applyBorder="1" applyAlignment="1">
      <alignment vertical="center" wrapText="1"/>
    </xf>
    <xf numFmtId="2" fontId="52" fillId="0" borderId="108" xfId="174" applyNumberFormat="1" applyFont="1" applyFill="1" applyBorder="1" applyAlignment="1">
      <alignment horizontal="right" vertical="center" wrapText="1"/>
    </xf>
    <xf numFmtId="4" fontId="52" fillId="0" borderId="108" xfId="0" applyNumberFormat="1" applyFont="1" applyBorder="1" applyAlignment="1">
      <alignment horizontal="right" vertical="center" wrapText="1"/>
    </xf>
    <xf numFmtId="44" fontId="52" fillId="0" borderId="108" xfId="174" applyFont="1" applyFill="1" applyBorder="1" applyAlignment="1">
      <alignment horizontal="right" vertical="center" wrapText="1"/>
    </xf>
    <xf numFmtId="44" fontId="52" fillId="0" borderId="109" xfId="174" applyFont="1" applyFill="1" applyBorder="1" applyAlignment="1">
      <alignment horizontal="right" vertical="center" wrapText="1"/>
    </xf>
    <xf numFmtId="0" fontId="89" fillId="57" borderId="66" xfId="0" applyFont="1" applyFill="1" applyBorder="1" applyAlignment="1">
      <alignment horizontal="left" vertical="center" wrapText="1"/>
    </xf>
    <xf numFmtId="0" fontId="89" fillId="57" borderId="19" xfId="0" applyFont="1" applyFill="1" applyBorder="1" applyAlignment="1">
      <alignment horizontal="left" vertical="center" wrapText="1"/>
    </xf>
    <xf numFmtId="0" fontId="89" fillId="57" borderId="19" xfId="0" applyFont="1" applyFill="1" applyBorder="1" applyAlignment="1">
      <alignment horizontal="center" vertical="center" wrapText="1"/>
    </xf>
    <xf numFmtId="0" fontId="89" fillId="57" borderId="19" xfId="0" applyFont="1" applyFill="1" applyBorder="1" applyAlignment="1">
      <alignment vertical="center" wrapText="1"/>
    </xf>
    <xf numFmtId="2" fontId="89" fillId="57" borderId="19" xfId="0" applyNumberFormat="1" applyFont="1" applyFill="1" applyBorder="1" applyAlignment="1">
      <alignment horizontal="right" vertical="center" wrapText="1"/>
    </xf>
    <xf numFmtId="167" fontId="89" fillId="57" borderId="73" xfId="0" applyNumberFormat="1" applyFont="1" applyFill="1" applyBorder="1" applyAlignment="1">
      <alignment horizontal="right" vertical="center" wrapText="1"/>
    </xf>
    <xf numFmtId="0" fontId="52" fillId="0" borderId="119" xfId="0" applyFont="1" applyBorder="1" applyAlignment="1">
      <alignment horizontal="left" vertical="center" wrapText="1"/>
    </xf>
    <xf numFmtId="0" fontId="52" fillId="0" borderId="60" xfId="0" applyFont="1" applyBorder="1" applyAlignment="1">
      <alignment horizontal="right" vertical="center" wrapText="1"/>
    </xf>
    <xf numFmtId="0" fontId="52" fillId="0" borderId="60" xfId="0" applyFont="1" applyBorder="1" applyAlignment="1">
      <alignment horizontal="center" vertical="center" wrapText="1"/>
    </xf>
    <xf numFmtId="0" fontId="51" fillId="0" borderId="60" xfId="0" applyFont="1" applyBorder="1" applyAlignment="1">
      <alignment vertical="center" wrapText="1"/>
    </xf>
    <xf numFmtId="2" fontId="52" fillId="0" borderId="60" xfId="174" applyNumberFormat="1" applyFont="1" applyFill="1" applyBorder="1" applyAlignment="1">
      <alignment horizontal="right" vertical="center" wrapText="1"/>
    </xf>
    <xf numFmtId="4" fontId="52" fillId="0" borderId="60" xfId="0" applyNumberFormat="1" applyFont="1" applyBorder="1" applyAlignment="1">
      <alignment horizontal="right" vertical="center" wrapText="1"/>
    </xf>
    <xf numFmtId="44" fontId="52" fillId="0" borderId="60" xfId="174" applyFont="1" applyFill="1" applyBorder="1" applyAlignment="1">
      <alignment horizontal="right" vertical="center" wrapText="1"/>
    </xf>
    <xf numFmtId="44" fontId="52" fillId="0" borderId="120" xfId="174" applyFont="1" applyFill="1" applyBorder="1" applyAlignment="1">
      <alignment horizontal="right" vertical="center" wrapText="1"/>
    </xf>
    <xf numFmtId="0" fontId="89" fillId="58" borderId="107" xfId="0" applyFont="1" applyFill="1" applyBorder="1" applyAlignment="1">
      <alignment horizontal="left" vertical="center" wrapText="1"/>
    </xf>
    <xf numFmtId="0" fontId="89" fillId="58" borderId="108" xfId="0" applyFont="1" applyFill="1" applyBorder="1" applyAlignment="1">
      <alignment horizontal="left" vertical="center" wrapText="1"/>
    </xf>
    <xf numFmtId="0" fontId="89" fillId="58" borderId="108" xfId="0" applyFont="1" applyFill="1" applyBorder="1" applyAlignment="1">
      <alignment horizontal="center" vertical="center" wrapText="1"/>
    </xf>
    <xf numFmtId="0" fontId="89" fillId="58" borderId="108" xfId="0" applyFont="1" applyFill="1" applyBorder="1" applyAlignment="1">
      <alignment vertical="center" wrapText="1"/>
    </xf>
    <xf numFmtId="2" fontId="89" fillId="58" borderId="108" xfId="0" applyNumberFormat="1" applyFont="1" applyFill="1" applyBorder="1" applyAlignment="1">
      <alignment horizontal="right" vertical="center" wrapText="1"/>
    </xf>
    <xf numFmtId="4" fontId="89" fillId="58" borderId="109" xfId="0" applyNumberFormat="1" applyFont="1" applyFill="1" applyBorder="1" applyAlignment="1">
      <alignment horizontal="right" vertical="center" wrapText="1"/>
    </xf>
    <xf numFmtId="0" fontId="49" fillId="0" borderId="119" xfId="0" applyFont="1" applyBorder="1" applyAlignment="1">
      <alignment vertical="center"/>
    </xf>
    <xf numFmtId="0" fontId="52" fillId="0" borderId="60" xfId="0" applyFont="1" applyBorder="1" applyAlignment="1">
      <alignment horizontal="left" vertical="center" wrapText="1"/>
    </xf>
    <xf numFmtId="43" fontId="52" fillId="0" borderId="60" xfId="369" applyFont="1" applyBorder="1" applyAlignment="1">
      <alignment horizontal="center" vertical="center" wrapText="1"/>
    </xf>
    <xf numFmtId="0" fontId="49" fillId="0" borderId="107" xfId="0" applyFont="1" applyBorder="1" applyAlignment="1">
      <alignment vertical="center"/>
    </xf>
    <xf numFmtId="0" fontId="49" fillId="0" borderId="108" xfId="0" applyFont="1" applyBorder="1" applyAlignment="1">
      <alignment vertical="center"/>
    </xf>
    <xf numFmtId="0" fontId="52" fillId="0" borderId="108" xfId="0" applyFont="1" applyBorder="1" applyAlignment="1">
      <alignment horizontal="left" vertical="center" wrapText="1"/>
    </xf>
    <xf numFmtId="2" fontId="49" fillId="0" borderId="108" xfId="0" applyNumberFormat="1" applyFont="1" applyBorder="1" applyAlignment="1">
      <alignment horizontal="right" vertical="center"/>
    </xf>
    <xf numFmtId="43" fontId="52" fillId="0" borderId="108" xfId="369" applyFont="1" applyBorder="1" applyAlignment="1">
      <alignment horizontal="center" vertical="center" wrapText="1"/>
    </xf>
    <xf numFmtId="0" fontId="93" fillId="58" borderId="107" xfId="0" applyFont="1" applyFill="1" applyBorder="1" applyAlignment="1">
      <alignment horizontal="left" vertical="center" wrapText="1"/>
    </xf>
    <xf numFmtId="0" fontId="93" fillId="58" borderId="108" xfId="0" applyFont="1" applyFill="1" applyBorder="1" applyAlignment="1">
      <alignment horizontal="left" vertical="center" wrapText="1"/>
    </xf>
    <xf numFmtId="0" fontId="93" fillId="58" borderId="108" xfId="0" applyFont="1" applyFill="1" applyBorder="1" applyAlignment="1">
      <alignment horizontal="center" vertical="center" wrapText="1"/>
    </xf>
    <xf numFmtId="2" fontId="93" fillId="58" borderId="108" xfId="0" applyNumberFormat="1" applyFont="1" applyFill="1" applyBorder="1" applyAlignment="1">
      <alignment horizontal="right" vertical="center" wrapText="1"/>
    </xf>
    <xf numFmtId="4" fontId="93" fillId="58" borderId="109" xfId="0" applyNumberFormat="1" applyFont="1" applyFill="1" applyBorder="1" applyAlignment="1">
      <alignment horizontal="right" vertical="center" wrapText="1"/>
    </xf>
    <xf numFmtId="0" fontId="93" fillId="57" borderId="66" xfId="0" applyFont="1" applyFill="1" applyBorder="1" applyAlignment="1">
      <alignment horizontal="left" vertical="center" wrapText="1"/>
    </xf>
    <xf numFmtId="0" fontId="93" fillId="57" borderId="19" xfId="0" applyFont="1" applyFill="1" applyBorder="1" applyAlignment="1">
      <alignment horizontal="left" vertical="center" wrapText="1"/>
    </xf>
    <xf numFmtId="0" fontId="93" fillId="57" borderId="19" xfId="0" applyFont="1" applyFill="1" applyBorder="1" applyAlignment="1">
      <alignment horizontal="center" vertical="center" wrapText="1"/>
    </xf>
    <xf numFmtId="2" fontId="93" fillId="57" borderId="19" xfId="0" applyNumberFormat="1" applyFont="1" applyFill="1" applyBorder="1" applyAlignment="1">
      <alignment horizontal="right" vertical="center" wrapText="1"/>
    </xf>
    <xf numFmtId="4" fontId="93" fillId="57" borderId="73" xfId="0" applyNumberFormat="1" applyFont="1" applyFill="1" applyBorder="1" applyAlignment="1">
      <alignment horizontal="right" vertical="center" wrapText="1"/>
    </xf>
    <xf numFmtId="0" fontId="98" fillId="56" borderId="106" xfId="0" applyFont="1" applyFill="1" applyBorder="1" applyAlignment="1">
      <alignment horizontal="center" vertical="center" wrapText="1"/>
    </xf>
    <xf numFmtId="0" fontId="98" fillId="56" borderId="92" xfId="0" applyFont="1" applyFill="1" applyBorder="1" applyAlignment="1">
      <alignment horizontal="center" vertical="center" wrapText="1"/>
    </xf>
    <xf numFmtId="0" fontId="52" fillId="0" borderId="110" xfId="0" applyFont="1" applyBorder="1" applyAlignment="1">
      <alignment horizontal="center" vertical="center" wrapText="1"/>
    </xf>
    <xf numFmtId="0" fontId="83" fillId="0" borderId="11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9" fillId="58" borderId="55" xfId="0" applyFont="1" applyFill="1" applyBorder="1" applyAlignment="1">
      <alignment horizontal="center" vertical="center" wrapText="1"/>
    </xf>
    <xf numFmtId="0" fontId="89" fillId="58" borderId="56" xfId="0" applyFont="1" applyFill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0" fontId="50" fillId="0" borderId="34" xfId="0" applyFont="1" applyBorder="1" applyAlignment="1">
      <alignment horizontal="center" vertical="center"/>
    </xf>
    <xf numFmtId="0" fontId="50" fillId="0" borderId="113" xfId="0" applyFont="1" applyBorder="1" applyAlignment="1">
      <alignment horizontal="center" vertical="center"/>
    </xf>
    <xf numFmtId="0" fontId="50" fillId="0" borderId="83" xfId="0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 wrapText="1"/>
    </xf>
    <xf numFmtId="0" fontId="50" fillId="0" borderId="27" xfId="0" applyFont="1" applyBorder="1" applyAlignment="1">
      <alignment horizontal="center" vertical="center" wrapText="1"/>
    </xf>
    <xf numFmtId="0" fontId="50" fillId="0" borderId="28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left" vertical="center"/>
    </xf>
    <xf numFmtId="0" fontId="50" fillId="0" borderId="22" xfId="0" applyFont="1" applyBorder="1" applyAlignment="1">
      <alignment horizontal="left" vertical="center"/>
    </xf>
    <xf numFmtId="0" fontId="50" fillId="0" borderId="96" xfId="0" applyFont="1" applyBorder="1" applyAlignment="1">
      <alignment horizontal="right" vertical="center"/>
    </xf>
    <xf numFmtId="0" fontId="50" fillId="0" borderId="94" xfId="0" applyFont="1" applyBorder="1" applyAlignment="1">
      <alignment horizontal="right" vertical="center"/>
    </xf>
    <xf numFmtId="0" fontId="50" fillId="0" borderId="95" xfId="0" applyFont="1" applyBorder="1" applyAlignment="1">
      <alignment horizontal="right" vertical="center"/>
    </xf>
    <xf numFmtId="0" fontId="50" fillId="0" borderId="91" xfId="0" applyFont="1" applyBorder="1" applyAlignment="1">
      <alignment horizontal="right" vertical="center"/>
    </xf>
    <xf numFmtId="0" fontId="50" fillId="0" borderId="26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28" xfId="0" applyFont="1" applyBorder="1" applyAlignment="1">
      <alignment horizontal="center" vertical="center"/>
    </xf>
    <xf numFmtId="0" fontId="89" fillId="57" borderId="37" xfId="0" applyFont="1" applyFill="1" applyBorder="1" applyAlignment="1">
      <alignment horizontal="center" vertical="center" wrapText="1"/>
    </xf>
    <xf numFmtId="0" fontId="89" fillId="57" borderId="39" xfId="0" applyFont="1" applyFill="1" applyBorder="1" applyAlignment="1">
      <alignment horizontal="center" vertical="center" wrapText="1"/>
    </xf>
    <xf numFmtId="0" fontId="89" fillId="58" borderId="121" xfId="0" applyFont="1" applyFill="1" applyBorder="1" applyAlignment="1">
      <alignment horizontal="center" vertical="center" wrapText="1"/>
    </xf>
    <xf numFmtId="0" fontId="89" fillId="58" borderId="122" xfId="0" applyFont="1" applyFill="1" applyBorder="1" applyAlignment="1">
      <alignment horizontal="center" vertical="center" wrapText="1"/>
    </xf>
    <xf numFmtId="0" fontId="95" fillId="0" borderId="106" xfId="0" applyFont="1" applyBorder="1" applyAlignment="1">
      <alignment horizontal="center" vertical="center"/>
    </xf>
    <xf numFmtId="0" fontId="95" fillId="0" borderId="99" xfId="0" applyFont="1" applyBorder="1" applyAlignment="1">
      <alignment horizontal="center" vertical="center"/>
    </xf>
    <xf numFmtId="167" fontId="95" fillId="0" borderId="22" xfId="0" applyNumberFormat="1" applyFont="1" applyBorder="1" applyAlignment="1">
      <alignment horizontal="center" vertical="center"/>
    </xf>
    <xf numFmtId="0" fontId="95" fillId="0" borderId="23" xfId="0" applyFont="1" applyBorder="1" applyAlignment="1">
      <alignment horizontal="center" vertical="center"/>
    </xf>
    <xf numFmtId="0" fontId="95" fillId="0" borderId="113" xfId="0" applyFont="1" applyBorder="1" applyAlignment="1">
      <alignment horizontal="center" vertical="center"/>
    </xf>
    <xf numFmtId="0" fontId="95" fillId="0" borderId="83" xfId="0" applyFont="1" applyBorder="1" applyAlignment="1">
      <alignment horizontal="center" vertical="center"/>
    </xf>
    <xf numFmtId="0" fontId="89" fillId="57" borderId="55" xfId="0" applyFont="1" applyFill="1" applyBorder="1" applyAlignment="1">
      <alignment horizontal="center" vertical="center" wrapText="1"/>
    </xf>
    <xf numFmtId="0" fontId="89" fillId="57" borderId="56" xfId="0" applyFont="1" applyFill="1" applyBorder="1" applyAlignment="1">
      <alignment horizontal="center" vertical="center" wrapText="1"/>
    </xf>
    <xf numFmtId="0" fontId="85" fillId="0" borderId="29" xfId="172" applyFont="1" applyBorder="1" applyAlignment="1">
      <alignment horizontal="left" vertical="center" wrapText="1"/>
    </xf>
    <xf numFmtId="0" fontId="85" fillId="0" borderId="118" xfId="172" applyFont="1" applyBorder="1" applyAlignment="1">
      <alignment horizontal="left" vertical="center" wrapText="1"/>
    </xf>
    <xf numFmtId="43" fontId="85" fillId="0" borderId="85" xfId="173" applyFont="1" applyFill="1" applyBorder="1" applyAlignment="1">
      <alignment horizontal="center" vertical="center" wrapText="1"/>
    </xf>
    <xf numFmtId="43" fontId="85" fillId="0" borderId="61" xfId="173" applyFont="1" applyFill="1" applyBorder="1" applyAlignment="1">
      <alignment horizontal="center" vertical="center" wrapText="1"/>
    </xf>
    <xf numFmtId="43" fontId="85" fillId="0" borderId="88" xfId="173" applyFont="1" applyFill="1" applyBorder="1" applyAlignment="1">
      <alignment horizontal="center" vertical="center" wrapText="1"/>
    </xf>
    <xf numFmtId="0" fontId="85" fillId="0" borderId="66" xfId="172" applyFont="1" applyBorder="1" applyAlignment="1">
      <alignment horizontal="left" vertical="center" wrapText="1"/>
    </xf>
    <xf numFmtId="0" fontId="85" fillId="0" borderId="19" xfId="172" applyFont="1" applyBorder="1" applyAlignment="1">
      <alignment horizontal="left" vertical="center" wrapText="1"/>
    </xf>
    <xf numFmtId="0" fontId="85" fillId="0" borderId="80" xfId="172" applyFont="1" applyBorder="1" applyAlignment="1">
      <alignment horizontal="left" vertical="center" wrapText="1"/>
    </xf>
    <xf numFmtId="0" fontId="85" fillId="0" borderId="81" xfId="172" applyFont="1" applyBorder="1" applyAlignment="1">
      <alignment horizontal="left" vertical="center" wrapText="1"/>
    </xf>
    <xf numFmtId="0" fontId="4" fillId="0" borderId="22" xfId="172" applyFont="1" applyBorder="1" applyAlignment="1">
      <alignment horizontal="center" vertical="center"/>
    </xf>
    <xf numFmtId="0" fontId="4" fillId="0" borderId="0" xfId="172" applyFont="1" applyAlignment="1">
      <alignment horizontal="center" vertical="center"/>
    </xf>
    <xf numFmtId="0" fontId="4" fillId="0" borderId="113" xfId="172" applyFont="1" applyBorder="1" applyAlignment="1">
      <alignment horizontal="center" vertical="center"/>
    </xf>
    <xf numFmtId="0" fontId="85" fillId="0" borderId="66" xfId="172" applyFont="1" applyBorder="1" applyAlignment="1">
      <alignment horizontal="center" vertical="center" wrapText="1"/>
    </xf>
    <xf numFmtId="0" fontId="85" fillId="0" borderId="26" xfId="172" applyFont="1" applyBorder="1" applyAlignment="1">
      <alignment horizontal="center" vertical="center" wrapText="1"/>
    </xf>
    <xf numFmtId="0" fontId="85" fillId="0" borderId="27" xfId="172" applyFont="1" applyBorder="1" applyAlignment="1">
      <alignment horizontal="center" vertical="center" wrapText="1"/>
    </xf>
    <xf numFmtId="0" fontId="81" fillId="0" borderId="26" xfId="0" applyFont="1" applyBorder="1" applyAlignment="1">
      <alignment horizontal="center" vertical="center" wrapText="1"/>
    </xf>
    <xf numFmtId="0" fontId="81" fillId="0" borderId="27" xfId="0" applyFont="1" applyBorder="1" applyAlignment="1">
      <alignment horizontal="center" vertical="center" wrapText="1"/>
    </xf>
    <xf numFmtId="10" fontId="5" fillId="0" borderId="58" xfId="77" applyNumberFormat="1" applyFont="1" applyBorder="1" applyAlignment="1">
      <alignment horizontal="right" vertical="center"/>
    </xf>
    <xf numFmtId="0" fontId="5" fillId="0" borderId="58" xfId="77" applyFont="1" applyBorder="1" applyAlignment="1">
      <alignment horizontal="right" vertical="center"/>
    </xf>
    <xf numFmtId="0" fontId="5" fillId="0" borderId="59" xfId="77" applyFont="1" applyBorder="1" applyAlignment="1">
      <alignment horizontal="right" vertical="center"/>
    </xf>
    <xf numFmtId="49" fontId="55" fillId="0" borderId="0" xfId="76" applyNumberFormat="1" applyFont="1" applyAlignment="1">
      <alignment horizontal="center" vertical="top" wrapText="1"/>
    </xf>
    <xf numFmtId="0" fontId="7" fillId="0" borderId="37" xfId="76" applyFont="1" applyBorder="1" applyAlignment="1">
      <alignment horizontal="center" vertical="center" wrapText="1"/>
    </xf>
    <xf numFmtId="0" fontId="7" fillId="0" borderId="38" xfId="76" applyFont="1" applyBorder="1" applyAlignment="1">
      <alignment horizontal="center" vertical="center" wrapText="1"/>
    </xf>
    <xf numFmtId="0" fontId="7" fillId="0" borderId="39" xfId="76" applyFont="1" applyBorder="1" applyAlignment="1">
      <alignment horizontal="center" vertical="center" wrapText="1"/>
    </xf>
    <xf numFmtId="0" fontId="6" fillId="0" borderId="40" xfId="76" applyFont="1" applyBorder="1" applyAlignment="1">
      <alignment horizontal="center" vertical="center" wrapText="1"/>
    </xf>
    <xf numFmtId="0" fontId="6" fillId="0" borderId="41" xfId="76" quotePrefix="1" applyFont="1" applyBorder="1" applyAlignment="1">
      <alignment horizontal="center" vertical="center" wrapText="1"/>
    </xf>
    <xf numFmtId="0" fontId="6" fillId="0" borderId="36" xfId="76" quotePrefix="1" applyFont="1" applyBorder="1" applyAlignment="1">
      <alignment horizontal="center" vertical="center" wrapText="1"/>
    </xf>
    <xf numFmtId="0" fontId="6" fillId="0" borderId="42" xfId="76" quotePrefix="1" applyFont="1" applyBorder="1" applyAlignment="1">
      <alignment horizontal="center" vertical="center" wrapText="1"/>
    </xf>
    <xf numFmtId="0" fontId="6" fillId="0" borderId="0" xfId="76" quotePrefix="1" applyFont="1" applyAlignment="1">
      <alignment horizontal="center" vertical="center" wrapText="1"/>
    </xf>
    <xf numFmtId="0" fontId="6" fillId="0" borderId="43" xfId="76" quotePrefix="1" applyFont="1" applyBorder="1" applyAlignment="1">
      <alignment horizontal="center" vertical="center" wrapText="1"/>
    </xf>
    <xf numFmtId="0" fontId="6" fillId="0" borderId="44" xfId="76" quotePrefix="1" applyFont="1" applyBorder="1" applyAlignment="1">
      <alignment horizontal="center" vertical="center" wrapText="1"/>
    </xf>
    <xf numFmtId="0" fontId="6" fillId="0" borderId="45" xfId="76" quotePrefix="1" applyFont="1" applyBorder="1" applyAlignment="1">
      <alignment horizontal="center" vertical="center" wrapText="1"/>
    </xf>
    <xf numFmtId="0" fontId="6" fillId="0" borderId="46" xfId="76" quotePrefix="1" applyFont="1" applyBorder="1" applyAlignment="1">
      <alignment horizontal="center" vertical="center" wrapText="1"/>
    </xf>
    <xf numFmtId="10" fontId="6" fillId="0" borderId="38" xfId="108" applyNumberFormat="1" applyFont="1" applyBorder="1" applyAlignment="1">
      <alignment horizontal="center" vertical="center" wrapText="1"/>
    </xf>
    <xf numFmtId="10" fontId="6" fillId="0" borderId="39" xfId="108" applyNumberFormat="1" applyFont="1" applyBorder="1" applyAlignment="1">
      <alignment horizontal="center" vertical="center" wrapText="1"/>
    </xf>
    <xf numFmtId="0" fontId="6" fillId="0" borderId="40" xfId="77" applyFont="1" applyBorder="1" applyAlignment="1">
      <alignment horizontal="right" vertical="center" wrapText="1"/>
    </xf>
    <xf numFmtId="0" fontId="6" fillId="0" borderId="36" xfId="77" applyFont="1" applyBorder="1" applyAlignment="1">
      <alignment horizontal="right" vertical="center" wrapText="1"/>
    </xf>
    <xf numFmtId="0" fontId="6" fillId="0" borderId="44" xfId="77" applyFont="1" applyBorder="1" applyAlignment="1">
      <alignment horizontal="right" vertical="center" wrapText="1"/>
    </xf>
    <xf numFmtId="0" fontId="6" fillId="0" borderId="46" xfId="77" applyFont="1" applyBorder="1" applyAlignment="1">
      <alignment horizontal="right" vertical="center" wrapText="1"/>
    </xf>
    <xf numFmtId="0" fontId="56" fillId="59" borderId="32" xfId="181" applyFont="1" applyFill="1" applyBorder="1" applyAlignment="1">
      <alignment horizontal="center" vertical="center" wrapText="1"/>
    </xf>
    <xf numFmtId="0" fontId="56" fillId="59" borderId="47" xfId="181" applyFont="1" applyFill="1" applyBorder="1" applyAlignment="1">
      <alignment horizontal="center" vertical="center" wrapText="1"/>
    </xf>
    <xf numFmtId="0" fontId="56" fillId="59" borderId="32" xfId="181" applyFont="1" applyFill="1" applyBorder="1" applyAlignment="1">
      <alignment horizontal="left" vertical="center" wrapText="1"/>
    </xf>
    <xf numFmtId="0" fontId="56" fillId="59" borderId="47" xfId="181" applyFont="1" applyFill="1" applyBorder="1" applyAlignment="1">
      <alignment horizontal="left" vertical="center" wrapText="1"/>
    </xf>
    <xf numFmtId="171" fontId="56" fillId="59" borderId="32" xfId="176" applyNumberFormat="1" applyFont="1" applyFill="1" applyBorder="1" applyAlignment="1">
      <alignment horizontal="center" vertical="center" wrapText="1"/>
    </xf>
    <xf numFmtId="171" fontId="56" fillId="59" borderId="47" xfId="176" applyNumberFormat="1" applyFont="1" applyFill="1" applyBorder="1" applyAlignment="1">
      <alignment horizontal="center" vertical="center" wrapText="1"/>
    </xf>
    <xf numFmtId="0" fontId="5" fillId="0" borderId="53" xfId="77" applyFont="1" applyBorder="1" applyAlignment="1">
      <alignment horizontal="right" vertical="center"/>
    </xf>
    <xf numFmtId="0" fontId="5" fillId="0" borderId="54" xfId="77" applyFont="1" applyBorder="1" applyAlignment="1">
      <alignment horizontal="right" vertical="center"/>
    </xf>
    <xf numFmtId="0" fontId="5" fillId="0" borderId="51" xfId="77" applyFont="1" applyBorder="1" applyAlignment="1">
      <alignment horizontal="right" vertical="center"/>
    </xf>
    <xf numFmtId="0" fontId="5" fillId="0" borderId="56" xfId="77" applyFont="1" applyBorder="1" applyAlignment="1">
      <alignment horizontal="right" vertical="center"/>
    </xf>
    <xf numFmtId="0" fontId="5" fillId="61" borderId="38" xfId="77" applyFont="1" applyFill="1" applyBorder="1" applyAlignment="1">
      <alignment horizontal="right" vertical="center"/>
    </xf>
    <xf numFmtId="0" fontId="5" fillId="61" borderId="39" xfId="77" applyFont="1" applyFill="1" applyBorder="1" applyAlignment="1">
      <alignment horizontal="right" vertical="center"/>
    </xf>
    <xf numFmtId="0" fontId="0" fillId="83" borderId="32" xfId="0" applyFill="1" applyBorder="1" applyAlignment="1">
      <alignment horizontal="center" wrapText="1"/>
    </xf>
    <xf numFmtId="0" fontId="0" fillId="83" borderId="47" xfId="0" applyFill="1" applyBorder="1" applyAlignment="1">
      <alignment horizontal="center" wrapText="1"/>
    </xf>
    <xf numFmtId="0" fontId="5" fillId="61" borderId="38" xfId="78" applyFont="1" applyFill="1" applyBorder="1" applyAlignment="1">
      <alignment horizontal="right" vertical="center"/>
    </xf>
    <xf numFmtId="0" fontId="5" fillId="61" borderId="39" xfId="78" applyFont="1" applyFill="1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2" fillId="80" borderId="84" xfId="0" applyFont="1" applyFill="1" applyBorder="1" applyAlignment="1">
      <alignment horizontal="center"/>
    </xf>
    <xf numFmtId="0" fontId="2" fillId="80" borderId="87" xfId="0" applyFont="1" applyFill="1" applyBorder="1" applyAlignment="1">
      <alignment horizontal="center"/>
    </xf>
    <xf numFmtId="0" fontId="2" fillId="80" borderId="85" xfId="0" applyFont="1" applyFill="1" applyBorder="1" applyAlignment="1">
      <alignment horizontal="center"/>
    </xf>
    <xf numFmtId="0" fontId="2" fillId="80" borderId="88" xfId="0" applyFont="1" applyFill="1" applyBorder="1" applyAlignment="1">
      <alignment horizontal="center"/>
    </xf>
    <xf numFmtId="0" fontId="2" fillId="80" borderId="92" xfId="0" applyFont="1" applyFill="1" applyBorder="1" applyAlignment="1">
      <alignment horizontal="center"/>
    </xf>
    <xf numFmtId="0" fontId="2" fillId="80" borderId="97" xfId="0" applyFont="1" applyFill="1" applyBorder="1" applyAlignment="1">
      <alignment horizontal="center"/>
    </xf>
    <xf numFmtId="0" fontId="2" fillId="80" borderId="94" xfId="0" applyFont="1" applyFill="1" applyBorder="1" applyAlignment="1">
      <alignment horizontal="center"/>
    </xf>
    <xf numFmtId="0" fontId="2" fillId="80" borderId="86" xfId="0" applyFont="1" applyFill="1" applyBorder="1" applyAlignment="1">
      <alignment horizontal="center"/>
    </xf>
    <xf numFmtId="0" fontId="2" fillId="80" borderId="89" xfId="0" applyFont="1" applyFill="1" applyBorder="1" applyAlignment="1">
      <alignment horizontal="center"/>
    </xf>
    <xf numFmtId="0" fontId="4" fillId="0" borderId="95" xfId="177" applyFont="1" applyBorder="1" applyAlignment="1">
      <alignment horizontal="right" vertical="center"/>
    </xf>
    <xf numFmtId="0" fontId="4" fillId="0" borderId="91" xfId="177" applyFont="1" applyBorder="1" applyAlignment="1">
      <alignment horizontal="right" vertical="center"/>
    </xf>
    <xf numFmtId="0" fontId="0" fillId="0" borderId="21" xfId="177" applyFont="1" applyBorder="1" applyAlignment="1">
      <alignment horizontal="center" vertical="center"/>
    </xf>
    <xf numFmtId="0" fontId="0" fillId="0" borderId="22" xfId="177" applyFont="1" applyBorder="1" applyAlignment="1">
      <alignment horizontal="center" vertical="center"/>
    </xf>
    <xf numFmtId="0" fontId="4" fillId="0" borderId="21" xfId="177" applyFont="1" applyBorder="1" applyAlignment="1">
      <alignment horizontal="center" vertical="center"/>
    </xf>
    <xf numFmtId="0" fontId="4" fillId="0" borderId="22" xfId="177" applyFont="1" applyBorder="1" applyAlignment="1">
      <alignment horizontal="center" vertical="center"/>
    </xf>
    <xf numFmtId="0" fontId="4" fillId="0" borderId="23" xfId="177" applyFont="1" applyBorder="1" applyAlignment="1">
      <alignment horizontal="center" vertical="center"/>
    </xf>
    <xf numFmtId="0" fontId="4" fillId="0" borderId="34" xfId="177" applyFont="1" applyBorder="1" applyAlignment="1">
      <alignment horizontal="center" vertical="center"/>
    </xf>
    <xf numFmtId="0" fontId="4" fillId="0" borderId="35" xfId="177" applyFont="1" applyBorder="1" applyAlignment="1">
      <alignment horizontal="center" vertical="center"/>
    </xf>
    <xf numFmtId="0" fontId="4" fillId="0" borderId="83" xfId="177" applyFont="1" applyBorder="1" applyAlignment="1">
      <alignment horizontal="center" vertical="center"/>
    </xf>
    <xf numFmtId="0" fontId="50" fillId="0" borderId="21" xfId="177" applyFont="1" applyBorder="1" applyAlignment="1">
      <alignment horizontal="center" vertical="center"/>
    </xf>
    <xf numFmtId="0" fontId="50" fillId="0" borderId="106" xfId="177" applyFont="1" applyBorder="1" applyAlignment="1">
      <alignment horizontal="center" vertical="center"/>
    </xf>
    <xf numFmtId="0" fontId="50" fillId="0" borderId="34" xfId="177" applyFont="1" applyBorder="1" applyAlignment="1">
      <alignment horizontal="center" vertical="center"/>
    </xf>
    <xf numFmtId="0" fontId="50" fillId="0" borderId="99" xfId="177" applyFont="1" applyBorder="1" applyAlignment="1">
      <alignment horizontal="center" vertical="center"/>
    </xf>
    <xf numFmtId="10" fontId="88" fillId="48" borderId="32" xfId="177" applyNumberFormat="1" applyFont="1" applyFill="1" applyBorder="1" applyAlignment="1">
      <alignment horizontal="center" vertical="center"/>
    </xf>
    <xf numFmtId="10" fontId="88" fillId="48" borderId="88" xfId="177" applyNumberFormat="1" applyFont="1" applyFill="1" applyBorder="1" applyAlignment="1">
      <alignment horizontal="center" vertical="center"/>
    </xf>
    <xf numFmtId="0" fontId="4" fillId="0" borderId="92" xfId="177" applyFont="1" applyBorder="1" applyAlignment="1">
      <alignment horizontal="justify" vertical="center" wrapText="1"/>
    </xf>
    <xf numFmtId="0" fontId="4" fillId="0" borderId="93" xfId="177" applyFont="1" applyBorder="1" applyAlignment="1">
      <alignment horizontal="justify" vertical="center" wrapText="1"/>
    </xf>
    <xf numFmtId="49" fontId="84" fillId="48" borderId="96" xfId="177" applyNumberFormat="1" applyFont="1" applyFill="1" applyBorder="1" applyAlignment="1">
      <alignment horizontal="center" vertical="center" wrapText="1"/>
    </xf>
    <xf numFmtId="49" fontId="84" fillId="48" borderId="97" xfId="177" applyNumberFormat="1" applyFont="1" applyFill="1" applyBorder="1" applyAlignment="1">
      <alignment horizontal="center" vertical="center" wrapText="1"/>
    </xf>
    <xf numFmtId="49" fontId="84" fillId="48" borderId="93" xfId="177" applyNumberFormat="1" applyFont="1" applyFill="1" applyBorder="1" applyAlignment="1">
      <alignment horizontal="center" vertical="center" wrapText="1"/>
    </xf>
    <xf numFmtId="0" fontId="0" fillId="0" borderId="31" xfId="177" applyFont="1" applyBorder="1" applyAlignment="1">
      <alignment horizontal="center" vertical="center"/>
    </xf>
    <xf numFmtId="0" fontId="0" fillId="0" borderId="100" xfId="177" applyFont="1" applyBorder="1" applyAlignment="1">
      <alignment horizontal="center" vertical="center"/>
    </xf>
    <xf numFmtId="0" fontId="0" fillId="0" borderId="32" xfId="177" applyFont="1" applyBorder="1" applyAlignment="1">
      <alignment horizontal="left" vertical="center"/>
    </xf>
    <xf numFmtId="0" fontId="0" fillId="0" borderId="47" xfId="177" applyFont="1" applyBorder="1" applyAlignment="1">
      <alignment horizontal="left" vertical="center"/>
    </xf>
    <xf numFmtId="10" fontId="3" fillId="79" borderId="33" xfId="178" applyNumberFormat="1" applyFont="1" applyFill="1" applyBorder="1" applyAlignment="1" applyProtection="1">
      <alignment horizontal="center" vertical="center"/>
      <protection locked="0"/>
    </xf>
    <xf numFmtId="10" fontId="3" fillId="79" borderId="101" xfId="178" applyNumberFormat="1" applyFont="1" applyFill="1" applyBorder="1" applyAlignment="1" applyProtection="1">
      <alignment horizontal="center" vertical="center"/>
      <protection locked="0"/>
    </xf>
    <xf numFmtId="10" fontId="0" fillId="0" borderId="103" xfId="178" applyNumberFormat="1" applyFont="1" applyBorder="1" applyAlignment="1">
      <alignment horizontal="center" vertical="center"/>
    </xf>
    <xf numFmtId="10" fontId="0" fillId="0" borderId="104" xfId="178" applyNumberFormat="1" applyFont="1" applyBorder="1" applyAlignment="1">
      <alignment horizontal="center" vertical="center"/>
    </xf>
    <xf numFmtId="0" fontId="0" fillId="0" borderId="26" xfId="177" applyFont="1" applyBorder="1" applyAlignment="1">
      <alignment horizontal="center" vertical="center"/>
    </xf>
    <xf numFmtId="0" fontId="0" fillId="0" borderId="27" xfId="177" applyFont="1" applyBorder="1" applyAlignment="1">
      <alignment horizontal="center" vertical="center"/>
    </xf>
    <xf numFmtId="10" fontId="0" fillId="0" borderId="90" xfId="178" applyNumberFormat="1" applyFont="1" applyBorder="1" applyAlignment="1">
      <alignment horizontal="center" vertical="center"/>
    </xf>
    <xf numFmtId="10" fontId="0" fillId="0" borderId="91" xfId="178" applyNumberFormat="1" applyFont="1" applyBorder="1" applyAlignment="1">
      <alignment horizontal="center" vertical="center"/>
    </xf>
    <xf numFmtId="10" fontId="0" fillId="0" borderId="92" xfId="178" applyNumberFormat="1" applyFont="1" applyBorder="1" applyAlignment="1">
      <alignment horizontal="center" vertical="center"/>
    </xf>
    <xf numFmtId="10" fontId="0" fillId="0" borderId="94" xfId="178" applyNumberFormat="1" applyFont="1" applyBorder="1" applyAlignment="1">
      <alignment horizontal="center" vertical="center"/>
    </xf>
    <xf numFmtId="10" fontId="0" fillId="0" borderId="37" xfId="178" applyNumberFormat="1" applyFont="1" applyBorder="1" applyAlignment="1">
      <alignment horizontal="center" vertical="center"/>
    </xf>
    <xf numFmtId="10" fontId="0" fillId="0" borderId="39" xfId="178" applyNumberFormat="1" applyFont="1" applyBorder="1" applyAlignment="1">
      <alignment horizontal="center" vertical="center"/>
    </xf>
    <xf numFmtId="0" fontId="0" fillId="0" borderId="26" xfId="177" applyFont="1" applyBorder="1" applyAlignment="1">
      <alignment vertical="center"/>
    </xf>
    <xf numFmtId="0" fontId="0" fillId="0" borderId="27" xfId="177" applyFont="1" applyBorder="1" applyAlignment="1">
      <alignment vertical="center"/>
    </xf>
    <xf numFmtId="0" fontId="83" fillId="0" borderId="92" xfId="177" applyFont="1" applyBorder="1" applyAlignment="1">
      <alignment horizontal="center"/>
    </xf>
    <xf numFmtId="0" fontId="83" fillId="0" borderId="94" xfId="177" applyFont="1" applyBorder="1" applyAlignment="1">
      <alignment horizontal="center"/>
    </xf>
    <xf numFmtId="49" fontId="81" fillId="48" borderId="26" xfId="177" applyNumberFormat="1" applyFont="1" applyFill="1" applyBorder="1" applyAlignment="1">
      <alignment horizontal="center" vertical="center"/>
    </xf>
    <xf numFmtId="49" fontId="81" fillId="48" borderId="27" xfId="177" applyNumberFormat="1" applyFont="1" applyFill="1" applyBorder="1" applyAlignment="1">
      <alignment horizontal="center" vertical="center"/>
    </xf>
    <xf numFmtId="49" fontId="81" fillId="48" borderId="28" xfId="177" applyNumberFormat="1" applyFont="1" applyFill="1" applyBorder="1" applyAlignment="1">
      <alignment horizontal="center" vertical="center"/>
    </xf>
    <xf numFmtId="49" fontId="84" fillId="48" borderId="21" xfId="177" applyNumberFormat="1" applyFont="1" applyFill="1" applyBorder="1" applyAlignment="1">
      <alignment horizontal="center" vertical="center" wrapText="1"/>
    </xf>
    <xf numFmtId="49" fontId="84" fillId="48" borderId="22" xfId="177" applyNumberFormat="1" applyFont="1" applyFill="1" applyBorder="1" applyAlignment="1">
      <alignment horizontal="center" vertical="center" wrapText="1"/>
    </xf>
    <xf numFmtId="49" fontId="84" fillId="48" borderId="23" xfId="177" applyNumberFormat="1" applyFont="1" applyFill="1" applyBorder="1" applyAlignment="1">
      <alignment horizontal="center" vertical="center" wrapText="1"/>
    </xf>
    <xf numFmtId="49" fontId="84" fillId="48" borderId="70" xfId="177" applyNumberFormat="1" applyFont="1" applyFill="1" applyBorder="1" applyAlignment="1">
      <alignment horizontal="center" vertical="center" wrapText="1"/>
    </xf>
    <xf numFmtId="49" fontId="84" fillId="48" borderId="45" xfId="177" applyNumberFormat="1" applyFont="1" applyFill="1" applyBorder="1" applyAlignment="1">
      <alignment horizontal="center" vertical="center" wrapText="1"/>
    </xf>
    <xf numFmtId="49" fontId="84" fillId="48" borderId="71" xfId="177" applyNumberFormat="1" applyFont="1" applyFill="1" applyBorder="1" applyAlignment="1">
      <alignment horizontal="center" vertical="center" wrapText="1"/>
    </xf>
    <xf numFmtId="0" fontId="84" fillId="0" borderId="84" xfId="177" applyFont="1" applyBorder="1" applyAlignment="1">
      <alignment horizontal="center" vertical="center"/>
    </xf>
    <xf numFmtId="0" fontId="84" fillId="0" borderId="87" xfId="177" applyFont="1" applyBorder="1" applyAlignment="1">
      <alignment horizontal="center" vertical="center"/>
    </xf>
    <xf numFmtId="0" fontId="84" fillId="0" borderId="85" xfId="177" applyFont="1" applyBorder="1" applyAlignment="1">
      <alignment horizontal="center" vertical="center"/>
    </xf>
    <xf numFmtId="0" fontId="84" fillId="0" borderId="88" xfId="177" applyFont="1" applyBorder="1" applyAlignment="1">
      <alignment horizontal="center" vertical="center"/>
    </xf>
    <xf numFmtId="0" fontId="84" fillId="0" borderId="86" xfId="177" applyFont="1" applyBorder="1" applyAlignment="1">
      <alignment horizontal="center" vertical="center"/>
    </xf>
    <xf numFmtId="0" fontId="84" fillId="0" borderId="89" xfId="177" applyFont="1" applyBorder="1" applyAlignment="1">
      <alignment horizontal="center" vertical="center"/>
    </xf>
    <xf numFmtId="0" fontId="84" fillId="55" borderId="90" xfId="177" applyFont="1" applyFill="1" applyBorder="1" applyAlignment="1">
      <alignment horizontal="center" vertical="center"/>
    </xf>
    <xf numFmtId="0" fontId="84" fillId="55" borderId="91" xfId="177" applyFont="1" applyFill="1" applyBorder="1" applyAlignment="1">
      <alignment horizontal="center" vertical="center"/>
    </xf>
    <xf numFmtId="0" fontId="3" fillId="0" borderId="0" xfId="76" applyAlignment="1">
      <alignment horizontal="center"/>
    </xf>
    <xf numFmtId="0" fontId="80" fillId="0" borderId="21" xfId="76" applyFont="1" applyBorder="1" applyAlignment="1">
      <alignment horizontal="center" vertical="center"/>
    </xf>
    <xf numFmtId="0" fontId="80" fillId="0" borderId="22" xfId="76" applyFont="1" applyBorder="1" applyAlignment="1">
      <alignment horizontal="center" vertical="center"/>
    </xf>
    <xf numFmtId="0" fontId="80" fillId="0" borderId="23" xfId="76" applyFont="1" applyBorder="1" applyAlignment="1">
      <alignment horizontal="center" vertical="center"/>
    </xf>
    <xf numFmtId="0" fontId="80" fillId="0" borderId="24" xfId="76" applyFont="1" applyBorder="1" applyAlignment="1">
      <alignment horizontal="center" vertical="center"/>
    </xf>
    <xf numFmtId="0" fontId="80" fillId="0" borderId="0" xfId="76" applyFont="1" applyAlignment="1">
      <alignment horizontal="center" vertical="center"/>
    </xf>
    <xf numFmtId="0" fontId="80" fillId="0" borderId="25" xfId="76" applyFont="1" applyBorder="1" applyAlignment="1">
      <alignment horizontal="center" vertical="center"/>
    </xf>
    <xf numFmtId="0" fontId="50" fillId="0" borderId="37" xfId="76" applyFont="1" applyBorder="1" applyAlignment="1">
      <alignment horizontal="center" vertical="center" wrapText="1"/>
    </xf>
    <xf numFmtId="0" fontId="50" fillId="0" borderId="38" xfId="76" applyFont="1" applyBorder="1" applyAlignment="1">
      <alignment horizontal="center" vertical="center" wrapText="1"/>
    </xf>
    <xf numFmtId="0" fontId="50" fillId="0" borderId="67" xfId="76" applyFont="1" applyBorder="1" applyAlignment="1">
      <alignment horizontal="center" vertical="center" wrapText="1"/>
    </xf>
    <xf numFmtId="0" fontId="51" fillId="0" borderId="35" xfId="76" applyFont="1" applyBorder="1" applyAlignment="1">
      <alignment horizontal="left" vertical="center" wrapText="1"/>
    </xf>
    <xf numFmtId="0" fontId="51" fillId="0" borderId="83" xfId="76" applyFont="1" applyBorder="1" applyAlignment="1">
      <alignment horizontal="left" vertical="center" wrapText="1"/>
    </xf>
    <xf numFmtId="0" fontId="50" fillId="0" borderId="80" xfId="78" applyFont="1" applyBorder="1" applyAlignment="1">
      <alignment horizontal="center" vertical="center"/>
    </xf>
    <xf numFmtId="0" fontId="50" fillId="0" borderId="81" xfId="78" applyFont="1" applyBorder="1" applyAlignment="1">
      <alignment horizontal="center" vertical="center"/>
    </xf>
    <xf numFmtId="0" fontId="51" fillId="0" borderId="68" xfId="76" applyFont="1" applyBorder="1" applyAlignment="1">
      <alignment horizontal="center" vertical="center" wrapText="1"/>
    </xf>
    <xf numFmtId="0" fontId="51" fillId="0" borderId="41" xfId="76" applyFont="1" applyBorder="1" applyAlignment="1">
      <alignment horizontal="center" vertical="center" wrapText="1"/>
    </xf>
    <xf numFmtId="0" fontId="51" fillId="0" borderId="69" xfId="76" applyFont="1" applyBorder="1" applyAlignment="1">
      <alignment horizontal="center" vertical="center" wrapText="1"/>
    </xf>
    <xf numFmtId="0" fontId="51" fillId="0" borderId="70" xfId="76" applyFont="1" applyBorder="1" applyAlignment="1">
      <alignment horizontal="center" vertical="center" wrapText="1"/>
    </xf>
    <xf numFmtId="0" fontId="51" fillId="0" borderId="45" xfId="76" applyFont="1" applyBorder="1" applyAlignment="1">
      <alignment horizontal="center" vertical="center" wrapText="1"/>
    </xf>
    <xf numFmtId="0" fontId="51" fillId="0" borderId="71" xfId="76" applyFont="1" applyBorder="1" applyAlignment="1">
      <alignment horizontal="center" vertical="center" wrapText="1"/>
    </xf>
    <xf numFmtId="0" fontId="50" fillId="0" borderId="72" xfId="78" applyFont="1" applyBorder="1" applyAlignment="1">
      <alignment horizontal="center" vertical="center"/>
    </xf>
    <xf numFmtId="0" fontId="50" fillId="0" borderId="38" xfId="78" applyFont="1" applyBorder="1" applyAlignment="1">
      <alignment horizontal="center" vertical="center"/>
    </xf>
    <xf numFmtId="0" fontId="50" fillId="0" borderId="67" xfId="78" applyFont="1" applyBorder="1" applyAlignment="1">
      <alignment horizontal="center" vertical="center"/>
    </xf>
    <xf numFmtId="0" fontId="50" fillId="0" borderId="37" xfId="78" applyFont="1" applyBorder="1" applyAlignment="1">
      <alignment horizontal="center" vertical="center"/>
    </xf>
    <xf numFmtId="0" fontId="50" fillId="0" borderId="39" xfId="78" applyFont="1" applyBorder="1" applyAlignment="1">
      <alignment horizontal="center" vertical="center"/>
    </xf>
    <xf numFmtId="0" fontId="51" fillId="0" borderId="72" xfId="78" applyFont="1" applyBorder="1" applyAlignment="1">
      <alignment horizontal="center"/>
    </xf>
    <xf numFmtId="0" fontId="51" fillId="0" borderId="38" xfId="78" applyFont="1" applyBorder="1" applyAlignment="1">
      <alignment horizontal="center"/>
    </xf>
    <xf numFmtId="0" fontId="51" fillId="0" borderId="67" xfId="78" applyFont="1" applyBorder="1" applyAlignment="1">
      <alignment horizontal="center"/>
    </xf>
    <xf numFmtId="0" fontId="50" fillId="0" borderId="66" xfId="78" applyFont="1" applyBorder="1" applyAlignment="1">
      <alignment horizontal="center" vertical="center"/>
    </xf>
    <xf numFmtId="0" fontId="50" fillId="0" borderId="19" xfId="78" applyFont="1" applyBorder="1" applyAlignment="1">
      <alignment horizontal="center" vertical="center"/>
    </xf>
    <xf numFmtId="166" fontId="50" fillId="0" borderId="19" xfId="78" applyNumberFormat="1" applyFont="1" applyBorder="1" applyAlignment="1">
      <alignment horizontal="center" vertical="center"/>
    </xf>
    <xf numFmtId="166" fontId="50" fillId="0" borderId="73" xfId="78" applyNumberFormat="1" applyFont="1" applyBorder="1" applyAlignment="1">
      <alignment horizontal="center" vertical="center"/>
    </xf>
  </cellXfs>
  <cellStyles count="372">
    <cellStyle name="20% - Accent1" xfId="257" xr:uid="{BCD51643-E7D3-4A1C-A1F5-7AD66E77FC09}"/>
    <cellStyle name="20% - Accent2" xfId="258" xr:uid="{F34663CF-599C-4E13-B095-336398998688}"/>
    <cellStyle name="20% - Accent3" xfId="259" xr:uid="{DDD58BD2-EEE7-4D18-B6F6-BE8E4D2D4482}"/>
    <cellStyle name="20% - Accent4" xfId="260" xr:uid="{F893F74D-5DFD-4D40-A101-448BDFA45BCA}"/>
    <cellStyle name="20% - Accent5" xfId="261" xr:uid="{43DD6D35-B5A4-44A1-AB9D-6049458491B1}"/>
    <cellStyle name="20% - Accent6" xfId="262" xr:uid="{FEAFD5DC-4621-455A-9A63-B0787C0F4371}"/>
    <cellStyle name="20% - Ênfase1 2" xfId="2" xr:uid="{1DB90C55-B703-4B18-8520-07535C36B560}"/>
    <cellStyle name="20% - Ênfase1 3" xfId="3" xr:uid="{1AB91ACB-E06D-4ED5-8A4B-A78526BA167E}"/>
    <cellStyle name="20% - Ênfase2 2" xfId="4" xr:uid="{658243A9-4BBF-4BDD-AE1C-ADE01538862D}"/>
    <cellStyle name="20% - Ênfase2 3" xfId="5" xr:uid="{6BC21149-CD3C-405E-A85C-A68C89020BA1}"/>
    <cellStyle name="20% - Ênfase3 2" xfId="6" xr:uid="{804D2FC2-3467-4EE1-AD5F-407F982A21F4}"/>
    <cellStyle name="20% - Ênfase3 3" xfId="7" xr:uid="{266450AE-EEEC-44AA-889A-EADD6E13596E}"/>
    <cellStyle name="20% - Ênfase4 2" xfId="8" xr:uid="{4656773F-CCD4-4ABE-B98C-D951CC9242DC}"/>
    <cellStyle name="20% - Ênfase4 3" xfId="9" xr:uid="{07E8D821-35E2-4051-9D69-E05648650EC4}"/>
    <cellStyle name="20% - Ênfase5 2" xfId="10" xr:uid="{D4AA8A2D-5E20-43B3-89C7-30FFBB55EC9E}"/>
    <cellStyle name="20% - Ênfase5 3" xfId="11" xr:uid="{09B1AFA3-83FE-441F-BBA3-C75C74E4B125}"/>
    <cellStyle name="20% - Ênfase6 2" xfId="12" xr:uid="{7020EAC9-4361-4CE7-8CF2-2D062B8E5409}"/>
    <cellStyle name="20% - Ênfase6 3" xfId="13" xr:uid="{F6DB1ED3-8B8E-4C03-9A16-3BFFDED77832}"/>
    <cellStyle name="40% - Accent1" xfId="263" xr:uid="{AC9162F1-1A6A-4F19-9F4A-2F3642926DD4}"/>
    <cellStyle name="40% - Accent2" xfId="264" xr:uid="{D12A738B-C5B7-4A35-88E6-1B198ACD344F}"/>
    <cellStyle name="40% - Accent3" xfId="265" xr:uid="{4339D6D7-9AB5-4F4D-A0E1-ED747431E238}"/>
    <cellStyle name="40% - Accent4" xfId="266" xr:uid="{18EF99EF-D4EA-420B-B7AB-44170FF97254}"/>
    <cellStyle name="40% - Accent5" xfId="267" xr:uid="{EF350A27-5F43-4518-8970-2406DE00A8B8}"/>
    <cellStyle name="40% - Accent6" xfId="268" xr:uid="{2F997A88-9B55-427F-89E4-9D9844423BBA}"/>
    <cellStyle name="40% - Ênfase1 2" xfId="14" xr:uid="{3A05E6BF-8AFB-4296-86F0-6724E5CA21A2}"/>
    <cellStyle name="40% - Ênfase1 3" xfId="15" xr:uid="{CFE8D21D-93B8-4EB4-B46D-6686ADED8B38}"/>
    <cellStyle name="40% - Ênfase2 2" xfId="16" xr:uid="{43ECFF98-5532-4686-A630-58A70E56961E}"/>
    <cellStyle name="40% - Ênfase2 3" xfId="17" xr:uid="{7E072BDC-32F3-4397-BBF5-CB0945CFCC42}"/>
    <cellStyle name="40% - Ênfase3 2" xfId="18" xr:uid="{2C3FC5F2-2D1B-480C-8175-579D24167DF3}"/>
    <cellStyle name="40% - Ênfase3 3" xfId="19" xr:uid="{ACE57EDF-F823-4255-A1D2-14FB481D4581}"/>
    <cellStyle name="40% - Ênfase4 2" xfId="20" xr:uid="{83A5F13A-98C0-471D-9927-B528E6EB252F}"/>
    <cellStyle name="40% - Ênfase4 3" xfId="21" xr:uid="{12E463F0-CF1D-4163-B3CC-F9F9FF22D5EF}"/>
    <cellStyle name="40% - Ênfase5 2" xfId="22" xr:uid="{CA80E59E-64A3-40FE-BF22-CD63A9E51423}"/>
    <cellStyle name="40% - Ênfase5 3" xfId="23" xr:uid="{5C62AFB9-43A5-44BF-9404-300B09523C76}"/>
    <cellStyle name="40% - Ênfase6 2" xfId="24" xr:uid="{8F7B02D1-4332-4C94-8D89-A04F78DBF7FD}"/>
    <cellStyle name="40% - Ênfase6 3" xfId="25" xr:uid="{A73457A4-81E0-44F2-BA38-60D8AE9F7263}"/>
    <cellStyle name="60% - Accent1" xfId="269" xr:uid="{73E8FA6B-E553-4EF2-BB67-B6EFCCA659EC}"/>
    <cellStyle name="60% - Accent2" xfId="270" xr:uid="{943A7617-8193-43A8-AE3E-9DE79E32F0FC}"/>
    <cellStyle name="60% - Accent3" xfId="271" xr:uid="{46C7818E-F6BE-49F2-B804-89B3A1B7D633}"/>
    <cellStyle name="60% - Accent4" xfId="272" xr:uid="{9314FA66-BD60-4C11-A7BC-64A347D55B96}"/>
    <cellStyle name="60% - Accent5" xfId="273" xr:uid="{F6F3889F-C7BA-4128-9616-F9712A70B994}"/>
    <cellStyle name="60% - Accent6" xfId="274" xr:uid="{7A791EE9-B269-4886-AD06-AB527F762941}"/>
    <cellStyle name="60% - Ênfase1 2" xfId="26" xr:uid="{55E986D0-B006-4825-AF77-40777051792D}"/>
    <cellStyle name="60% - Ênfase1 3" xfId="27" xr:uid="{265CEED5-AB26-4DB4-B7EA-7446D51DA711}"/>
    <cellStyle name="60% - Ênfase2 2" xfId="28" xr:uid="{4A1DB941-FDA2-4B85-A507-1935934FAC2A}"/>
    <cellStyle name="60% - Ênfase2 3" xfId="29" xr:uid="{FD9D3FE4-9CEB-4995-83A8-4DEF78D5052E}"/>
    <cellStyle name="60% - Ênfase3 2" xfId="30" xr:uid="{E79E4B7E-5CD5-41BE-A9B1-423090627AD3}"/>
    <cellStyle name="60% - Ênfase3 3" xfId="31" xr:uid="{B6B78E91-E713-40EF-9AFB-C025788BC466}"/>
    <cellStyle name="60% - Ênfase4 2" xfId="32" xr:uid="{1270B402-2980-40A3-9169-429D197CDD66}"/>
    <cellStyle name="60% - Ênfase4 3" xfId="33" xr:uid="{62700DA3-7FEF-4E00-92EA-9D61B7A40AAE}"/>
    <cellStyle name="60% - Ênfase5 2" xfId="34" xr:uid="{6F32F73A-41ED-4AF0-8E80-16E83260828E}"/>
    <cellStyle name="60% - Ênfase5 3" xfId="35" xr:uid="{FFB1B2A1-0D6D-489E-805B-91B762F20F50}"/>
    <cellStyle name="60% - Ênfase6 2" xfId="36" xr:uid="{C36B6B82-3A55-40F3-8AA4-51A9AAB43743}"/>
    <cellStyle name="60% - Ênfase6 3" xfId="37" xr:uid="{030C3925-BEE8-40D5-AC77-6A9C2791F09F}"/>
    <cellStyle name="Accent1" xfId="275" xr:uid="{707E5DF7-1415-4551-A209-244AA7301553}"/>
    <cellStyle name="Accent2" xfId="276" xr:uid="{C0B5F77F-5A83-4AA3-9EEA-B84D018043D0}"/>
    <cellStyle name="Accent3" xfId="277" xr:uid="{1825E9BD-7CC4-4C99-93A7-2E48A2701399}"/>
    <cellStyle name="Accent4" xfId="278" xr:uid="{93C9BEDF-FCAF-46C4-AF94-0F4EF038D370}"/>
    <cellStyle name="Accent5" xfId="279" xr:uid="{6787DB3B-0A44-49D1-84EE-ED858D0E0E18}"/>
    <cellStyle name="Accent6" xfId="280" xr:uid="{B95DA455-A3B4-4253-BA90-3D5A20B6DED5}"/>
    <cellStyle name="Bad" xfId="281" xr:uid="{09E2D3D4-52ED-4BCA-8BA2-3ADDCB9341B5}"/>
    <cellStyle name="Bom 2" xfId="38" xr:uid="{E0575668-87E5-4FAF-AA5C-FB0D09CF5F5D}"/>
    <cellStyle name="Bom 3" xfId="39" xr:uid="{A003A09C-C591-47FB-8F3D-54E0ABE4301A}"/>
    <cellStyle name="Cabe‡alho 1" xfId="216" xr:uid="{0DCFD7C2-1A5C-4388-80AA-B52FD43A4BFF}"/>
    <cellStyle name="Cabe‡alho 2" xfId="217" xr:uid="{8AE9AB4C-9590-46B1-AA42-C7763EC2F67E}"/>
    <cellStyle name="Cabeçalho 1" xfId="218" xr:uid="{6D304D4D-EF80-42FD-8936-A74FC440B986}"/>
    <cellStyle name="Cabeçalho 2" xfId="219" xr:uid="{65850586-B7A4-4E8A-8689-39F986AC280B}"/>
    <cellStyle name="Calculation" xfId="282" xr:uid="{AEF76C0B-7DCE-461C-ADEE-C1D8DDE1F118}"/>
    <cellStyle name="Cálculo 2" xfId="40" xr:uid="{95CC928C-271A-4E10-8934-5EAE4FB06009}"/>
    <cellStyle name="Cálculo 3" xfId="41" xr:uid="{23431918-F17A-4AD3-BC48-F162F5CE90A5}"/>
    <cellStyle name="Célula de Verificação 2" xfId="42" xr:uid="{936CAE63-FA11-444D-882E-A18F426C19C9}"/>
    <cellStyle name="Célula de Verificação 3" xfId="43" xr:uid="{EB2F237C-2DF0-4E68-8A87-D8B2D39FA28B}"/>
    <cellStyle name="Célula Vinculada 2" xfId="44" xr:uid="{3F608B71-9A53-4FA6-9491-C74B6E877067}"/>
    <cellStyle name="Célula Vinculada 3" xfId="45" xr:uid="{0E0110F4-C5A0-4720-A875-139E53E62D29}"/>
    <cellStyle name="Check Cell" xfId="283" xr:uid="{1ED8964F-4514-4150-BBC1-24CACF878985}"/>
    <cellStyle name="Comma_Q. Transporte LOTE 01" xfId="220" xr:uid="{0E1B4831-FC70-410C-B1E5-013312D69F95}"/>
    <cellStyle name="Comma0" xfId="221" xr:uid="{25C8ED31-D695-46F3-93D5-F925EA34C682}"/>
    <cellStyle name="Currency [0]_Q. Transporte LOTE 01" xfId="222" xr:uid="{38308972-6C86-48ED-931E-56C7C7DD3643}"/>
    <cellStyle name="Currency_Croqui de Localização" xfId="223" xr:uid="{715EDEDF-E94C-4BF0-B5E5-8EE7904C7B88}"/>
    <cellStyle name="Data" xfId="224" xr:uid="{18EBB97E-60D2-4025-AC12-C9664E16268B}"/>
    <cellStyle name="Ênfase1 2" xfId="46" xr:uid="{6788D875-701C-4F9D-ADE7-8F4B88D19470}"/>
    <cellStyle name="Ênfase1 3" xfId="47" xr:uid="{057545E0-0632-49B3-909E-AB54EC83B413}"/>
    <cellStyle name="Ênfase2 2" xfId="48" xr:uid="{AFB95B74-8C83-48E9-B2B2-D66F80E71D2E}"/>
    <cellStyle name="Ênfase2 3" xfId="49" xr:uid="{67061235-B134-4F77-A66E-1256910400C7}"/>
    <cellStyle name="Ênfase3 2" xfId="50" xr:uid="{9C795BEB-35CD-47F0-AE5C-491BB71AAECC}"/>
    <cellStyle name="Ênfase3 3" xfId="51" xr:uid="{6E9EEBCC-9757-4B52-BE69-36FA53424023}"/>
    <cellStyle name="Ênfase4 2" xfId="52" xr:uid="{95BF985D-C1A0-47BA-B05F-68DD4102F702}"/>
    <cellStyle name="Ênfase4 3" xfId="53" xr:uid="{59A25E43-2FA2-4F74-9646-B5104EA80603}"/>
    <cellStyle name="Ênfase5 2" xfId="54" xr:uid="{8C19E8A8-0014-46BB-89C5-A3C814E6BCDC}"/>
    <cellStyle name="Ênfase5 3" xfId="55" xr:uid="{93F994F8-54BA-419E-843B-853CF2A4992B}"/>
    <cellStyle name="Ênfase6 2" xfId="56" xr:uid="{2EB5EF72-E13C-4E9D-9956-C00A3DAD4E27}"/>
    <cellStyle name="Ênfase6 3" xfId="57" xr:uid="{AAC80CA9-61C9-4AB3-B67F-746B81C37647}"/>
    <cellStyle name="Entrada 2" xfId="58" xr:uid="{A3B0937B-05B7-4559-B9D2-110DBEFB24B7}"/>
    <cellStyle name="Entrada 3" xfId="59" xr:uid="{FE5DF244-C873-429B-8490-8522E90273C8}"/>
    <cellStyle name="Euro" xfId="225" xr:uid="{7C6D25EF-E15A-4CF8-9255-67D5E9F51926}"/>
    <cellStyle name="Explanatory Text" xfId="284" xr:uid="{8B6ED3D0-4743-431A-961C-7F0D2B74F61B}"/>
    <cellStyle name="Fixo" xfId="226" xr:uid="{ABA9F786-D859-41DF-A9A4-0FC236081F30}"/>
    <cellStyle name="Good" xfId="285" xr:uid="{69482132-2C69-4868-BC0B-3464A11448FD}"/>
    <cellStyle name="Heading 1" xfId="286" xr:uid="{002C8499-204F-4D45-ABD7-B495726ACC6A}"/>
    <cellStyle name="Heading 2" xfId="287" xr:uid="{A4DE3E6C-A27C-4B7A-B518-2441E0B54995}"/>
    <cellStyle name="Heading 3" xfId="288" xr:uid="{BEFE50B1-E1C8-45EB-B013-C89FF8E4A1B2}"/>
    <cellStyle name="Heading 4" xfId="289" xr:uid="{E9AFCC88-6577-4775-8647-B0752DB598E2}"/>
    <cellStyle name="Incorreto 2" xfId="60" xr:uid="{ACF8407A-73DC-4832-9396-F9025CD17E26}"/>
    <cellStyle name="Incorreto 3" xfId="61" xr:uid="{B8C46666-1E20-4A3E-8A0A-6C8253601034}"/>
    <cellStyle name="Indefinido" xfId="62" xr:uid="{F0E399F3-CD4D-4D0D-81AF-37763951FAC1}"/>
    <cellStyle name="Input" xfId="290" xr:uid="{3A4DD3B0-BA76-486D-899B-7070ECE8C27C}"/>
    <cellStyle name="Linked Cell" xfId="291" xr:uid="{3A2AC050-33F3-4AAC-B2CE-6ADDBC0AB563}"/>
    <cellStyle name="Moeda" xfId="370" builtinId="4"/>
    <cellStyle name="Moeda 10" xfId="255" xr:uid="{88BC6994-3986-42B4-BE62-C9F8EF62B48B}"/>
    <cellStyle name="Moeda 11" xfId="206" xr:uid="{FE2891C0-C3D9-42F2-A59E-97ABA916A448}"/>
    <cellStyle name="Moeda 2" xfId="64" xr:uid="{F1A8D503-C812-4A23-B5DB-A9270579DF6A}"/>
    <cellStyle name="Moeda 2 2" xfId="65" xr:uid="{A6C78724-6551-400A-A69A-A1D23505C900}"/>
    <cellStyle name="Moeda 2 2 2" xfId="66" xr:uid="{7F4D27FB-E889-46CF-992E-27401EF2DC73}"/>
    <cellStyle name="Moeda 2 2 3" xfId="184" xr:uid="{5579B9D1-F887-462E-A133-036D40DE01B7}"/>
    <cellStyle name="Moeda 2 2 4" xfId="292" xr:uid="{EF5646D7-921D-4245-8E2F-518921E882C0}"/>
    <cellStyle name="Moeda 2 3" xfId="67" xr:uid="{68CF7D1E-BE9F-4CA0-BECD-52DB5DE115E4}"/>
    <cellStyle name="Moeda 2 3 2" xfId="293" xr:uid="{73A44B43-2197-42E1-B629-142189D10C15}"/>
    <cellStyle name="Moeda 2 4" xfId="68" xr:uid="{16FCF7AE-80E7-4C0A-94A4-C5AD9A65E3B0}"/>
    <cellStyle name="Moeda 2 4 2" xfId="294" xr:uid="{8FF8B9F2-D019-40EE-BB64-0D74D586170E}"/>
    <cellStyle name="Moeda 2 5" xfId="176" xr:uid="{4941F5EB-B5B9-4F51-8894-8A235E814855}"/>
    <cellStyle name="Moeda 2 5 2" xfId="295" xr:uid="{D0F04D99-634F-4BA3-8844-B0AF93FE69F0}"/>
    <cellStyle name="Moeda 2 6" xfId="188" xr:uid="{1BC0149F-14AE-411F-995E-C2AD1DD83554}"/>
    <cellStyle name="Moeda 2 6 2" xfId="296" xr:uid="{C7ABE90C-F406-4EA2-8B4B-5F77DEB83C1A}"/>
    <cellStyle name="Moeda 2 7" xfId="297" xr:uid="{716A411C-86BA-4D94-9D29-942CDEB09611}"/>
    <cellStyle name="Moeda 2 8" xfId="298" xr:uid="{BAD3FAFA-FE22-4C20-9D17-2AF84A536313}"/>
    <cellStyle name="Moeda 2 9" xfId="227" xr:uid="{048CA9A8-A027-4859-B66C-6C1028BFA58E}"/>
    <cellStyle name="Moeda 3" xfId="69" xr:uid="{59727AAE-5B5B-41E3-A759-290942F07B5A}"/>
    <cellStyle name="Moeda 3 2" xfId="70" xr:uid="{BFAC1179-D62F-4272-BA26-65B0D8FAF8DF}"/>
    <cellStyle name="Moeda 3 3" xfId="71" xr:uid="{0999F6B3-5174-46B7-B469-D60D229C6FC9}"/>
    <cellStyle name="Moeda 3 4" xfId="189" xr:uid="{07F9AF39-0517-4181-9E3B-C3A153E6954B}"/>
    <cellStyle name="Moeda 3 5" xfId="228" xr:uid="{10923725-195B-4D7B-88CF-F22B50E781B4}"/>
    <cellStyle name="Moeda 4" xfId="72" xr:uid="{2CC6AD3F-1437-478C-BB31-0E18BE1B3B3B}"/>
    <cellStyle name="Moeda 4 2" xfId="186" xr:uid="{6B829983-1FCA-42E9-8E33-F665AAFB4FFD}"/>
    <cellStyle name="Moeda 4 3" xfId="229" xr:uid="{6D287E3E-5181-4AF6-B398-5E0EF91F930A}"/>
    <cellStyle name="Moeda 5" xfId="63" xr:uid="{CA2B7771-56F9-4B06-B566-D0177A9898F2}"/>
    <cellStyle name="Moeda 5 2" xfId="230" xr:uid="{C04E830D-F80F-4D7E-9C5F-68DF00516C36}"/>
    <cellStyle name="Moeda 6" xfId="174" xr:uid="{ABB22844-28CF-47BD-BF28-B2F3445634E9}"/>
    <cellStyle name="Moeda 6 2" xfId="231" xr:uid="{BE8D4B86-B6ED-435E-A5DF-439DB7F19C3D}"/>
    <cellStyle name="Moeda 7" xfId="73" xr:uid="{C63BB4D7-E83E-402E-9FBA-247DA923ED8D}"/>
    <cellStyle name="Moeda 7 2" xfId="232" xr:uid="{988DCFDD-6997-4810-BA29-77E1FD468261}"/>
    <cellStyle name="Moeda 8" xfId="233" xr:uid="{C5DADD44-D1DF-4917-8835-CCAB30927650}"/>
    <cellStyle name="Moeda 9" xfId="234" xr:uid="{4A7EBF90-7E01-4047-87D8-AD0627C575B7}"/>
    <cellStyle name="Moeda0" xfId="235" xr:uid="{B3400EEF-BE49-414A-95BB-04CB949D791D}"/>
    <cellStyle name="mpenho" xfId="236" xr:uid="{2B4EF319-362F-47E2-B0B8-CFD9E8506961}"/>
    <cellStyle name="Neutra 2" xfId="74" xr:uid="{6C98115D-60AC-4DF4-8190-C892013F1471}"/>
    <cellStyle name="Neutra 3" xfId="75" xr:uid="{170BA452-573A-45DB-856C-F55D77F49113}"/>
    <cellStyle name="Neutral" xfId="299" xr:uid="{39E14690-190B-43FA-A04C-FEC8C86AEF03}"/>
    <cellStyle name="Normal" xfId="0" builtinId="0"/>
    <cellStyle name="Normal 10" xfId="190" xr:uid="{024511D7-FB6D-46BB-BB73-8AF15209F599}"/>
    <cellStyle name="Normal 10 2" xfId="300" xr:uid="{C48E6A53-A737-4BE8-8BA8-B0B653277016}"/>
    <cellStyle name="Normal 100" xfId="301" xr:uid="{ACBFB86A-FC1B-4F32-B2EF-77C2739B570C}"/>
    <cellStyle name="Normal 101" xfId="302" xr:uid="{EDA739E6-90EC-49CF-A5A9-00BACD30CA89}"/>
    <cellStyle name="Normal 102" xfId="303" xr:uid="{7D29B598-489D-4E03-A809-FAFE7CF41089}"/>
    <cellStyle name="Normal 11" xfId="76" xr:uid="{BDCC7AA0-8BA7-47C4-B9BA-884DA9B2EB2D}"/>
    <cellStyle name="Normal 16 2" xfId="208" xr:uid="{435B3DEB-E78B-4F5B-921F-ACF521D21EA0}"/>
    <cellStyle name="Normal 2" xfId="77" xr:uid="{3019D4B4-D4CF-457B-957E-F66290118B25}"/>
    <cellStyle name="Normal 2 2" xfId="78" xr:uid="{2F0593A3-56D2-4E00-89D1-ECFD2E611324}"/>
    <cellStyle name="Normal 2 2 2" xfId="79" xr:uid="{E57375F5-C108-4BB4-8B7A-D1BE0E2B2262}"/>
    <cellStyle name="Normal 2 2 2 2" xfId="183" xr:uid="{9A98743A-D948-47C6-8186-14C471DB0BFF}"/>
    <cellStyle name="Normal 2 2 2 3" xfId="193" xr:uid="{D37FEC78-284B-4EC4-A921-D0AA35F82535}"/>
    <cellStyle name="Normal 2 2 3" xfId="192" xr:uid="{B0AD5677-C879-4319-B9BD-98212D65F2DF}"/>
    <cellStyle name="Normal 2 3" xfId="80" xr:uid="{66BF80A2-76D2-4335-B2F1-4C78779E88CD}"/>
    <cellStyle name="Normal 2 3 2" xfId="187" xr:uid="{F5ACD897-F7A2-415E-B17F-70F7DDC982C8}"/>
    <cellStyle name="Normal 2 3 3" xfId="237" xr:uid="{7A987088-0349-415B-819D-C18CAC257CF3}"/>
    <cellStyle name="Normal 2 4" xfId="179" xr:uid="{AC5F32C1-21BD-4939-9DEB-2210D7E421F6}"/>
    <cellStyle name="Normal 2 4 2" xfId="304" xr:uid="{08CA433E-15F9-42D2-AF20-6B4C727DF686}"/>
    <cellStyle name="Normal 2 5" xfId="185" xr:uid="{12ADA923-03D3-43F5-AC88-F4A08FD4D1B2}"/>
    <cellStyle name="Normal 2 5 2" xfId="305" xr:uid="{33F56AB7-55FC-4370-B12F-40D6061C4257}"/>
    <cellStyle name="Normal 2 6" xfId="306" xr:uid="{0A115B50-00C5-43F4-BBF5-242CA5422AA5}"/>
    <cellStyle name="Normal 2 7" xfId="307" xr:uid="{BCD2E8CB-3FF8-4962-A6D9-9057CA88F8C0}"/>
    <cellStyle name="Normal 2 8" xfId="308" xr:uid="{1F4630AE-BE92-47FD-88F1-677693FD2E74}"/>
    <cellStyle name="Normal 2 9" xfId="209" xr:uid="{CD9B8794-F577-4855-B7B4-E54A85C850BD}"/>
    <cellStyle name="Normal 3" xfId="81" xr:uid="{062D2CE4-59D5-4EBD-9E93-C6968AF51EC3}"/>
    <cellStyle name="Normal 3 2" xfId="82" xr:uid="{AF3636E6-BF3D-4B4D-A7E2-0B46C8B3BA78}"/>
    <cellStyle name="Normal 3 3" xfId="215" xr:uid="{4FE783A6-7AEA-461A-94EE-ED5C66D393AA}"/>
    <cellStyle name="Normal 3 4" xfId="309" xr:uid="{B2C025B5-B49D-465D-9FC5-2AD491F0EA54}"/>
    <cellStyle name="Normal 3 5" xfId="310" xr:uid="{F257928C-DDA8-4BB5-A7CA-4ED9E1613A03}"/>
    <cellStyle name="Normal 3 6" xfId="311" xr:uid="{5596137E-22CB-4410-B850-F21FE808DA77}"/>
    <cellStyle name="Normal 3 7" xfId="312" xr:uid="{8BF247B6-5A2D-49C4-88C1-99A084FD7A56}"/>
    <cellStyle name="Normal 3_ORÇAMENTO-br 101_2A" xfId="313" xr:uid="{95A1ADDE-2BB5-47A7-AE88-F827C317FB26}"/>
    <cellStyle name="Normal 4" xfId="83" xr:uid="{CBB8B224-B32C-4B8A-92C2-2D41CF5C9490}"/>
    <cellStyle name="Normal 4 10" xfId="84" xr:uid="{5C8610C9-7036-4BE8-9E88-9A26A9A832D8}"/>
    <cellStyle name="Normal 4 11" xfId="210" xr:uid="{07C3BC2E-037F-4381-B786-19177B16D02C}"/>
    <cellStyle name="Normal 4 2" xfId="85" xr:uid="{A3314C04-C130-4597-A0AE-3E8019425C58}"/>
    <cellStyle name="Normal 4 2 2" xfId="86" xr:uid="{B0502BA8-ABB6-4C98-8CA8-04A6A8390198}"/>
    <cellStyle name="Normal 4 2 3" xfId="211" xr:uid="{42C4513C-1366-4BFA-B461-FAEA610E968E}"/>
    <cellStyle name="Normal 4 3" xfId="87" xr:uid="{A0B2979C-F5EF-4EE9-B904-71049AB2F046}"/>
    <cellStyle name="Normal 4 4" xfId="88" xr:uid="{56EF4A00-6F19-45CD-AEF5-D5DF75ACC9D5}"/>
    <cellStyle name="Normal 4 4 2" xfId="89" xr:uid="{16C9A2A0-5553-4314-9CAA-88117C5B1CE7}"/>
    <cellStyle name="Normal 4 5" xfId="90" xr:uid="{8F8CE1F5-72EF-4602-91B4-5F42B8C338A3}"/>
    <cellStyle name="Normal 4 6" xfId="91" xr:uid="{2B1D4B1B-DF0F-4AD1-8EB5-F166B234EFE1}"/>
    <cellStyle name="Normal 4 7" xfId="92" xr:uid="{1E41CE46-D771-472C-A073-877A5D7550D7}"/>
    <cellStyle name="Normal 4 7 2" xfId="93" xr:uid="{8ED8F94A-B1AB-443C-9BE4-50D3509B18D2}"/>
    <cellStyle name="Normal 4 7 3" xfId="94" xr:uid="{2A0F59A3-0CDB-4890-B53E-D151919F6194}"/>
    <cellStyle name="Normal 4 8" xfId="95" xr:uid="{D108CB50-2FAB-4395-83F7-E44138B3DC60}"/>
    <cellStyle name="Normal 4 8 2" xfId="96" xr:uid="{30235E47-8EC8-4074-9DB9-6EA332A16B06}"/>
    <cellStyle name="Normal 4 9" xfId="97" xr:uid="{F0A81CA0-8468-472C-A19C-650C480C118A}"/>
    <cellStyle name="Normal 5" xfId="98" xr:uid="{0BF8DEFE-A32A-4600-A36C-CF054A8E1335}"/>
    <cellStyle name="Normal 5 2" xfId="99" xr:uid="{6E102582-8381-442E-B06C-50C217964C15}"/>
    <cellStyle name="Normal 5 2 2" xfId="368" xr:uid="{6423CA54-1D3C-4C97-A128-F3FC256CED18}"/>
    <cellStyle name="Normal 5 3" xfId="212" xr:uid="{C4450978-A17A-4825-BF7C-C42B5F852185}"/>
    <cellStyle name="Normal 6" xfId="100" xr:uid="{B1C31BDA-850F-408D-804A-7DEFDCA1061B}"/>
    <cellStyle name="Normal 6 2" xfId="101" xr:uid="{D59C17D6-A7FE-4305-84F3-88F516C913A6}"/>
    <cellStyle name="Normal 6 2 2" xfId="315" xr:uid="{3FAD1504-B572-48E2-A0BE-F5F6E4883F45}"/>
    <cellStyle name="Normal 6 2 3" xfId="314" xr:uid="{4E156E77-FF88-4EE3-BFD2-5A1C82A45318}"/>
    <cellStyle name="Normal 6 3" xfId="177" xr:uid="{CB6B9E5D-6A60-4301-9D67-DC488ED1F465}"/>
    <cellStyle name="Normal 6 4" xfId="194" xr:uid="{12327042-F58F-431F-AFD6-9EDCAF6367B0}"/>
    <cellStyle name="Normal 7" xfId="102" xr:uid="{29B96DD4-B2CC-407C-9629-9ADB0911A2E7}"/>
    <cellStyle name="Normal 7 2" xfId="103" xr:uid="{0998D528-CB54-4179-A811-A7214519B24B}"/>
    <cellStyle name="Normal 7 2 2" xfId="317" xr:uid="{55516AE1-BDFF-4B9F-92E5-B1DD625C6BE3}"/>
    <cellStyle name="Normal 7 2 3" xfId="316" xr:uid="{E257120C-10D1-40BF-B172-5BE7302FD972}"/>
    <cellStyle name="Normal 78" xfId="318" xr:uid="{50184A71-2A71-41D6-889E-1EF92027EF5D}"/>
    <cellStyle name="Normal 79" xfId="319" xr:uid="{A31A5A86-BBB7-4E6A-AA55-6CA326A1CCD8}"/>
    <cellStyle name="Normal 8" xfId="1" xr:uid="{21554D00-6097-4CC8-980B-06760A0CDDA7}"/>
    <cellStyle name="Normal 8 2" xfId="320" xr:uid="{33D69B3E-3EDF-4299-AE11-7B9A73FE4F8C}"/>
    <cellStyle name="Normal 8 2 2" xfId="321" xr:uid="{37DBDE9D-8396-4C76-8E00-E0AEE6549ED5}"/>
    <cellStyle name="Normal 8 3" xfId="214" xr:uid="{E883A6FE-7A76-49D6-9841-58D47E4ECB34}"/>
    <cellStyle name="Normal 80" xfId="322" xr:uid="{D364F26E-FC67-4929-B89F-797994BDE88F}"/>
    <cellStyle name="Normal 81" xfId="323" xr:uid="{050B7C66-8C2C-42DC-AF0E-970A3ECE9B8B}"/>
    <cellStyle name="Normal 82" xfId="324" xr:uid="{E8E140EB-E212-440C-A257-BDE5EA992CE9}"/>
    <cellStyle name="Normal 83" xfId="325" xr:uid="{B91053DF-E46C-4075-9C7F-837A923EFEA0}"/>
    <cellStyle name="Normal 84" xfId="326" xr:uid="{E5645D87-B48F-4823-9135-4325925D5B29}"/>
    <cellStyle name="Normal 85" xfId="327" xr:uid="{783EE128-4B1E-4171-9F9C-61A61B46CA78}"/>
    <cellStyle name="Normal 86" xfId="328" xr:uid="{4CB83C4A-444D-434E-9CC0-63C5BCF5F9C7}"/>
    <cellStyle name="Normal 87" xfId="329" xr:uid="{958185F3-84E2-457B-A7FC-52C8C73AF438}"/>
    <cellStyle name="Normal 88" xfId="330" xr:uid="{4AADCCE4-83AE-48BF-808C-A068681CF82D}"/>
    <cellStyle name="Normal 89" xfId="331" xr:uid="{74CD6F3F-14BF-48BC-B633-12F0BB9E8FCB}"/>
    <cellStyle name="Normal 9" xfId="172" xr:uid="{AEF9D76E-5889-4E78-85EC-63FBD8013F16}"/>
    <cellStyle name="Normal 9 2" xfId="332" xr:uid="{3B651E4E-069F-44B7-BD53-52B236428CEE}"/>
    <cellStyle name="Normal 9 2 2" xfId="333" xr:uid="{8B812958-CDCF-4C30-8AA9-75DDC0D29B31}"/>
    <cellStyle name="Normal 9 3" xfId="334" xr:uid="{7590C123-DF54-46CE-9F9F-18F96E7C6183}"/>
    <cellStyle name="Normal 9 4" xfId="254" xr:uid="{3FB69222-1037-4655-BED8-E30A28DBDD3F}"/>
    <cellStyle name="Normal 90" xfId="335" xr:uid="{0A13721C-AA36-4A0F-8B42-0626BFDF4BBC}"/>
    <cellStyle name="Normal 91" xfId="336" xr:uid="{177FCC35-19B9-47D9-BCCD-74A8BB78AB7F}"/>
    <cellStyle name="Normal 92" xfId="337" xr:uid="{498C282C-5D59-4E33-895A-9195171B43E0}"/>
    <cellStyle name="Normal 93" xfId="338" xr:uid="{CDB86789-1951-4CF1-8A32-246CE7A13576}"/>
    <cellStyle name="Normal 94" xfId="339" xr:uid="{9F5191F3-016E-4208-93E2-ECC93DC2B7E2}"/>
    <cellStyle name="Normal 95" xfId="340" xr:uid="{126CA982-D99D-4B31-BA6C-40CC521AA861}"/>
    <cellStyle name="Normal 96" xfId="341" xr:uid="{3F4BC22C-6D07-40AD-844A-74086ABCFA87}"/>
    <cellStyle name="Normal 97" xfId="342" xr:uid="{16A31B33-9F98-402B-987F-89194511E471}"/>
    <cellStyle name="Normal 98" xfId="343" xr:uid="{21BBC8C0-C7B5-4453-8561-054EEC648A77}"/>
    <cellStyle name="Normal 99" xfId="344" xr:uid="{48089DB3-06D7-4CFC-AD47-7E1F790F2DCE}"/>
    <cellStyle name="Normal_Pesquisa no referencial 10 de maio de 2013" xfId="181" xr:uid="{59F8EEAE-B37F-4D74-B9AB-7E8269FC8BAF}"/>
    <cellStyle name="Nota 2" xfId="104" xr:uid="{BEE3DFE3-9161-4DE4-BE04-6419B86BB28C}"/>
    <cellStyle name="Nota 3" xfId="105" xr:uid="{2BFF2DF8-E784-4DEB-B60C-9284EA487918}"/>
    <cellStyle name="Nota 4" xfId="106" xr:uid="{7933DD81-A928-4DEE-B1CB-E1FB60940278}"/>
    <cellStyle name="Note" xfId="345" xr:uid="{D3883476-867B-416B-8CD2-6A0E96F0BD04}"/>
    <cellStyle name="Output" xfId="346" xr:uid="{44513C85-69D4-40A7-8CEA-21F7BB4EBA76}"/>
    <cellStyle name="Percentual" xfId="238" xr:uid="{9591EA29-4977-44FA-97D2-679FB38D1E5B}"/>
    <cellStyle name="Ponto" xfId="239" xr:uid="{CA794943-986A-4929-B770-214BA55C8A1A}"/>
    <cellStyle name="Porcentagem" xfId="371" builtinId="5"/>
    <cellStyle name="Porcentagem 2" xfId="108" xr:uid="{8EB7ED96-19A3-4CE9-9465-3E15B42329CE}"/>
    <cellStyle name="Porcentagem 2 2" xfId="196" xr:uid="{739B9629-02B6-47D0-91A1-43FA01076243}"/>
    <cellStyle name="Porcentagem 2 2 2" xfId="347" xr:uid="{952B4483-617D-4594-8EC2-342851D379C7}"/>
    <cellStyle name="Porcentagem 2 3" xfId="195" xr:uid="{F035861A-D27C-47A0-BC9D-433334303D6A}"/>
    <cellStyle name="Porcentagem 2 3 2" xfId="348" xr:uid="{4FBE6177-75D3-4914-AF69-E27272FE12C3}"/>
    <cellStyle name="Porcentagem 2 4" xfId="349" xr:uid="{6FDA2059-3E9E-4236-8039-3283F6048707}"/>
    <cellStyle name="Porcentagem 2 5" xfId="350" xr:uid="{C890779F-78B2-4415-98F6-375EAED4853B}"/>
    <cellStyle name="Porcentagem 2 6" xfId="351" xr:uid="{3C48AA0F-8C1F-48A8-837F-1E4EA101A609}"/>
    <cellStyle name="Porcentagem 2 7" xfId="352" xr:uid="{A7B0DE6F-4192-483A-883F-845FF6977466}"/>
    <cellStyle name="Porcentagem 2 8" xfId="353" xr:uid="{03862295-37FB-40E2-B78C-BF49A847997F}"/>
    <cellStyle name="Porcentagem 2 9" xfId="213" xr:uid="{683B9AC8-E456-40AD-802A-60C76FCD67A4}"/>
    <cellStyle name="Porcentagem 3" xfId="109" xr:uid="{B6659726-AD3A-4E20-8BDE-0EEA213D6B79}"/>
    <cellStyle name="Porcentagem 3 2" xfId="240" xr:uid="{0DBF96EE-E016-447C-92B2-5AA91494519B}"/>
    <cellStyle name="Porcentagem 4" xfId="110" xr:uid="{FF7A7506-8E21-464E-89FB-ED9E71A42D66}"/>
    <cellStyle name="Porcentagem 4 2" xfId="241" xr:uid="{BB9198E5-67A5-4657-9548-0EB7971F663B}"/>
    <cellStyle name="Porcentagem 5" xfId="107" xr:uid="{4888933E-A946-4F27-B918-C733A4300FA6}"/>
    <cellStyle name="Porcentagem 5 2" xfId="242" xr:uid="{062E3DE2-C898-42F9-8F28-ED2A0580E0B0}"/>
    <cellStyle name="Porcentagem 6" xfId="175" xr:uid="{BC7141DB-9EB3-4096-AD9E-6D1588FEF1D6}"/>
    <cellStyle name="Porcentagem 6 2" xfId="256" xr:uid="{8709A12D-06A2-43A6-98A6-324CA46CE3D3}"/>
    <cellStyle name="Saída 2" xfId="111" xr:uid="{9037CD0E-D269-4DD1-A11E-A1E716DAF3C1}"/>
    <cellStyle name="Saída 3" xfId="112" xr:uid="{A362F356-DC4C-4906-BA94-940E48881360}"/>
    <cellStyle name="Separador de m" xfId="113" xr:uid="{17AD7F0E-F5C1-44C5-BDD0-88E6B52F6259}"/>
    <cellStyle name="Separador de m 2" xfId="243" xr:uid="{FC304055-6E0B-4ED5-9FF1-037152E8CA8C}"/>
    <cellStyle name="Separador de milhares 2" xfId="114" xr:uid="{474B5152-C0E8-4BD8-8097-A98F8E476FD1}"/>
    <cellStyle name="Separador de milhares 2 2" xfId="115" xr:uid="{68CDD304-F09A-44BC-B0EA-2CCD5C101D89}"/>
    <cellStyle name="Separador de milhares 2 2 2" xfId="116" xr:uid="{187452C2-6F5C-4CB8-8B43-6989904E0C5F}"/>
    <cellStyle name="Separador de milhares 2 2 2 2" xfId="117" xr:uid="{A33659C8-D972-478D-92E1-95C125B5F388}"/>
    <cellStyle name="Separador de milhares 2 2 2 3" xfId="118" xr:uid="{6341F4EB-55C7-4F1D-BB0D-BF0620E3CD25}"/>
    <cellStyle name="Separador de milhares 2 2 2 4" xfId="198" xr:uid="{10F273D4-FBAB-4FBD-9BD0-86991947ED61}"/>
    <cellStyle name="Separador de milhares 2 2 3" xfId="119" xr:uid="{1A8ED010-DCC7-4153-8B6E-A98D871ABA9F}"/>
    <cellStyle name="Separador de milhares 2 2 4" xfId="197" xr:uid="{31854637-F7FB-4903-89A4-9C1F4FDD13E8}"/>
    <cellStyle name="Separador de milhares 2 3" xfId="120" xr:uid="{CC55B17E-5324-4F1E-B4B1-DD415A8101F1}"/>
    <cellStyle name="Separador de milhares 2 3 2" xfId="121" xr:uid="{A4F3FA4C-1B6A-4762-A558-CEC3F32DF6C9}"/>
    <cellStyle name="Separador de milhares 2 3 2 2" xfId="122" xr:uid="{1BDC48D2-8063-4C67-9CCB-6875FB3B82C6}"/>
    <cellStyle name="Separador de milhares 2 4" xfId="191" xr:uid="{8EBE3B8A-5A07-4CA7-9306-E9F6D48EA333}"/>
    <cellStyle name="Separador de milhares 2 4 2" xfId="354" xr:uid="{884ED6E6-DC02-456C-94EC-37822541915D}"/>
    <cellStyle name="Separador de milhares 2 5" xfId="355" xr:uid="{EE4E3620-0829-4ABD-9E24-8674096E53CF}"/>
    <cellStyle name="Separador de milhares 2 6" xfId="356" xr:uid="{1B8C0EEE-7F2C-4815-B06E-9358FA660DB4}"/>
    <cellStyle name="Separador de milhares 2 7" xfId="357" xr:uid="{35D423C5-7043-4162-8227-E0E0BD854A50}"/>
    <cellStyle name="Separador de milhares 2 8" xfId="358" xr:uid="{6240958F-BC9F-4812-BFDB-C0FC106F914B}"/>
    <cellStyle name="Separador de milhares 2 9" xfId="244" xr:uid="{F4332DB5-B427-4A43-98A9-866277D6082D}"/>
    <cellStyle name="Separador de milhares 3" xfId="123" xr:uid="{9C898739-B05E-486B-879B-FF9BFE149DA7}"/>
    <cellStyle name="Separador de milhares 3 2" xfId="124" xr:uid="{784392FC-8444-46D0-BF04-5ADAB6015366}"/>
    <cellStyle name="Separador de milhares 3 2 2" xfId="125" xr:uid="{C5B59695-5619-4B45-93DA-1C6CBF023D70}"/>
    <cellStyle name="Separador de milhares 3 3" xfId="126" xr:uid="{6F67AB4D-AC95-4635-88E3-239D71133B3D}"/>
    <cellStyle name="Separador de milhares 3 4" xfId="199" xr:uid="{AC03AB61-507A-4F40-BB15-93695D7BDB83}"/>
    <cellStyle name="Separador de milhares 3 5" xfId="245" xr:uid="{34865474-B052-44D1-8BDA-60E94E70CAF1}"/>
    <cellStyle name="Separador de milhares 4" xfId="200" xr:uid="{CBE23627-242D-403B-97FF-857D0C6BDF00}"/>
    <cellStyle name="Separador de milhares 4 2" xfId="246" xr:uid="{C1C726D2-0C6D-4619-8E32-20D39006618F}"/>
    <cellStyle name="Separador de milhares 5" xfId="201" xr:uid="{A6BDDA8C-065E-448E-97C0-653A56C082C8}"/>
    <cellStyle name="Separador de milhares 5 2" xfId="247" xr:uid="{27E9300C-6B98-4144-96C9-90466C473C01}"/>
    <cellStyle name="Separador de milhares 6" xfId="202" xr:uid="{EAD5ECD6-B1FF-41A0-A389-85AC95D7BF8E}"/>
    <cellStyle name="Separador de milhares 7" xfId="203" xr:uid="{31A56D34-A45E-45DC-87F1-223B1ECACB47}"/>
    <cellStyle name="Separador de milhares 8" xfId="127" xr:uid="{0824A7E6-FF0B-4136-8B42-BE32AA18D9EF}"/>
    <cellStyle name="Separador de milhares 8 2" xfId="128" xr:uid="{B026B0CE-74CB-47B1-BED7-3A0190DE9488}"/>
    <cellStyle name="Separador de milhares 9" xfId="129" xr:uid="{A2B3C42B-685B-43BD-9957-85A55DEB739F}"/>
    <cellStyle name="Separador de milhares 9 2" xfId="130" xr:uid="{A691794A-FE6C-452E-8818-01B2D5F7CA17}"/>
    <cellStyle name="Separador de milhares 9 3" xfId="131" xr:uid="{AE0E86D8-1A66-424E-B086-07F2C4307A91}"/>
    <cellStyle name="Texto de Aviso 2" xfId="132" xr:uid="{79DB02D2-2F83-4F14-9934-E49ECEEA3ACE}"/>
    <cellStyle name="Texto de Aviso 3" xfId="133" xr:uid="{84ED541E-9760-420C-B2E8-7CE2612DC40F}"/>
    <cellStyle name="Texto Explicativo 2" xfId="134" xr:uid="{EFCD7936-8B53-4F5E-BA75-CCB050DDC3DE}"/>
    <cellStyle name="Texto Explicativo 3" xfId="135" xr:uid="{B80655E8-956F-4646-BA3B-713022CE1E43}"/>
    <cellStyle name="Title" xfId="359" xr:uid="{6F6DA206-115B-482C-A1C6-AAE34A64717B}"/>
    <cellStyle name="Título 1 2" xfId="136" xr:uid="{6C0C3236-BC51-4C3F-8F0A-65E14B1FB5CA}"/>
    <cellStyle name="Título 1 3" xfId="137" xr:uid="{A37E9EA1-FF6B-41B9-8ECF-866A9F728269}"/>
    <cellStyle name="Título 2 2" xfId="138" xr:uid="{C11A5C5A-6B2D-41EB-8ABF-CE56BA4D437B}"/>
    <cellStyle name="Título 2 3" xfId="139" xr:uid="{9ACB7101-043C-4BC9-B491-998A4671C831}"/>
    <cellStyle name="Título 3 2" xfId="140" xr:uid="{943B2CE8-E2CB-4D5A-898E-5293EBC6C0C0}"/>
    <cellStyle name="Título 3 3" xfId="141" xr:uid="{F5EE7476-0632-4850-971A-F93E896CA088}"/>
    <cellStyle name="Título 4 2" xfId="142" xr:uid="{19258310-C385-45AE-AF4C-823A53671E3E}"/>
    <cellStyle name="Título 4 3" xfId="143" xr:uid="{CF58DF12-9D3A-4E16-9F14-F4BF10983CA1}"/>
    <cellStyle name="Título 5" xfId="144" xr:uid="{678C7B20-C430-4C42-A60E-F2CBE105CE08}"/>
    <cellStyle name="Título 6" xfId="145" xr:uid="{319A7F9D-F3C4-4BB8-872B-61E59F77CBE0}"/>
    <cellStyle name="Titulo1" xfId="248" xr:uid="{A40B89ED-6A77-42F9-87D0-54E7857EB882}"/>
    <cellStyle name="Titulo2" xfId="249" xr:uid="{BB39FB49-EC98-4ED7-B91D-E6F809EF08DC}"/>
    <cellStyle name="Total 2" xfId="146" xr:uid="{4FF84875-A35B-4DB3-81E0-5AC9C1D29FF3}"/>
    <cellStyle name="TOTAL 2 2" xfId="360" xr:uid="{FE971A68-C688-4374-99FA-D5B094083E04}"/>
    <cellStyle name="Total 3" xfId="147" xr:uid="{6AF58D86-29D8-4F80-BC89-267CF9B9765F}"/>
    <cellStyle name="TOTAL 3 2" xfId="361" xr:uid="{BA721630-0545-46A1-84B4-45A570AC0D46}"/>
    <cellStyle name="TOTAL 4" xfId="362" xr:uid="{285029E8-5ACB-4A16-8D5F-0DE8B6BB0DDB}"/>
    <cellStyle name="TOTAL 5" xfId="363" xr:uid="{3DEECEC0-F790-47A1-98C1-8E4C557917F9}"/>
    <cellStyle name="TOTAL 6" xfId="364" xr:uid="{DF44176A-B8CF-41D4-9ED6-B7D17707B03D}"/>
    <cellStyle name="TOTAL 7" xfId="365" xr:uid="{961E45F5-F54B-4175-B3F4-F086AAF262D8}"/>
    <cellStyle name="TOTAL 8" xfId="366" xr:uid="{661E4C3C-6D1A-4FFB-B3BF-5D06EC6C4446}"/>
    <cellStyle name="V¡rgula" xfId="250" xr:uid="{9CA4D924-E3FE-4EF4-A1C7-1BE8635DEE72}"/>
    <cellStyle name="V¡rgula0" xfId="251" xr:uid="{5438C9EB-9C49-411F-A754-AEB421DFB366}"/>
    <cellStyle name="Vírgula" xfId="369" builtinId="3"/>
    <cellStyle name="Vírgula 10" xfId="180" xr:uid="{6CE001C6-2B77-44D6-9FB9-1CA0B308DA1D}"/>
    <cellStyle name="Vírgula 11" xfId="182" xr:uid="{550B8C53-ACE6-436C-A874-D1E2A0A2019A}"/>
    <cellStyle name="Vírgula 2" xfId="149" xr:uid="{F1FF0A18-61B8-4714-ABD0-A84C26AA4B37}"/>
    <cellStyle name="Vírgula 2 2" xfId="150" xr:uid="{2A7FAAF5-8986-4A04-9A41-80E77EFE3A4B}"/>
    <cellStyle name="Vírgula 2 2 2" xfId="151" xr:uid="{EC28E7B2-2212-47C2-AB9F-E2D16E672970}"/>
    <cellStyle name="Vírgula 2 2 3" xfId="152" xr:uid="{249E8C58-7DA1-4385-902E-299D0FF208CA}"/>
    <cellStyle name="Vírgula 2 3" xfId="153" xr:uid="{A41FD72A-221A-4D8B-B274-8426DEF3E4D0}"/>
    <cellStyle name="Vírgula 2 4" xfId="204" xr:uid="{60043652-FB87-4DC2-A0E7-17F12DFECC9E}"/>
    <cellStyle name="Vírgula 2 5" xfId="207" xr:uid="{ADA5EEE7-397A-408A-AD91-7BC271DBD03D}"/>
    <cellStyle name="Vírgula 3" xfId="154" xr:uid="{15BE0AD1-7082-4CE6-9EFC-95DEFB97204D}"/>
    <cellStyle name="Vírgula 3 2" xfId="155" xr:uid="{BC36555E-F4F4-490E-BDA5-EAF9BD0181EC}"/>
    <cellStyle name="Vírgula 3 2 2" xfId="156" xr:uid="{9B437572-6967-4A39-A30E-B9705F60A2A9}"/>
    <cellStyle name="Vírgula 3 2 2 2" xfId="157" xr:uid="{EBCBDE74-1DBF-4671-B828-A49F313F9FA3}"/>
    <cellStyle name="Vírgula 3 2 3" xfId="158" xr:uid="{216E0B01-1931-4830-8C30-2F412CFEF9A5}"/>
    <cellStyle name="Vírgula 3 2 3 2" xfId="159" xr:uid="{AD651BD2-19BC-445B-B6FF-CD3B4A7BDEFC}"/>
    <cellStyle name="Vírgula 3 2 4" xfId="160" xr:uid="{29F82C75-9AA3-477C-A786-013A13FF0193}"/>
    <cellStyle name="Vírgula 3 3" xfId="161" xr:uid="{786396ED-0627-4612-8D2C-76D9036D5286}"/>
    <cellStyle name="Vírgula 3 4" xfId="253" xr:uid="{1899DCD2-9780-421B-B96D-7B17F4CBE39B}"/>
    <cellStyle name="Vírgula 4" xfId="162" xr:uid="{5EE00284-A00C-4189-88F5-CD02B7A91B7B}"/>
    <cellStyle name="Vírgula 4 2" xfId="163" xr:uid="{3434D5EA-F9CA-4334-9C1F-4334F3E04E43}"/>
    <cellStyle name="Vírgula 4 2 2" xfId="164" xr:uid="{92BADD04-1976-4B89-95F5-343B64490D57}"/>
    <cellStyle name="Vírgula 4 3" xfId="165" xr:uid="{A8A56511-4548-457D-9BA5-F4E99A6CECFE}"/>
    <cellStyle name="Vírgula 5" xfId="166" xr:uid="{B7A50D4E-50E7-4466-A9AE-8EDA5209CDB7}"/>
    <cellStyle name="Vírgula 5 2" xfId="167" xr:uid="{73050BBC-0BAD-4696-BF8B-FECBB38DC40D}"/>
    <cellStyle name="Vírgula 6" xfId="168" xr:uid="{A05D8489-00F8-4798-A4BA-FD1920AE4A99}"/>
    <cellStyle name="Vírgula 6 2" xfId="169" xr:uid="{F8216A7D-49FA-448C-A10D-CDC124600B28}"/>
    <cellStyle name="Vírgula 6 3" xfId="170" xr:uid="{93249AB5-07DD-42AC-A58D-9D94B542C5C3}"/>
    <cellStyle name="Vírgula 6 4" xfId="178" xr:uid="{DECC5F2F-4993-4A33-9F29-D38BBD0B67BF}"/>
    <cellStyle name="Vírgula 6 5" xfId="205" xr:uid="{9AA6BE5D-8C91-41A9-922A-613AAB67B91A}"/>
    <cellStyle name="Vírgula 7" xfId="171" xr:uid="{1E020044-7ABF-4D00-B976-684C7F390B1D}"/>
    <cellStyle name="Vírgula 8" xfId="148" xr:uid="{3EADB24E-AFAE-42F6-B040-D7BB41FFF0F9}"/>
    <cellStyle name="Vírgula 9" xfId="173" xr:uid="{9C259BB2-B0AE-446F-92A3-02D005187B32}"/>
    <cellStyle name="Vírgula0" xfId="252" xr:uid="{7BEE673A-B72C-423A-A84A-4AB0EEAAD04D}"/>
    <cellStyle name="Warning Text" xfId="367" xr:uid="{16B04823-4320-4925-ACA4-DC938D39827F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153521</xdr:colOff>
      <xdr:row>0</xdr:row>
      <xdr:rowOff>294716</xdr:rowOff>
    </xdr:from>
    <xdr:to>
      <xdr:col>3</xdr:col>
      <xdr:colOff>1900315</xdr:colOff>
      <xdr:row>2</xdr:row>
      <xdr:rowOff>41412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53521" y="294716"/>
          <a:ext cx="2520000" cy="5086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171450</xdr:rowOff>
    </xdr:from>
    <xdr:to>
      <xdr:col>3</xdr:col>
      <xdr:colOff>923925</xdr:colOff>
      <xdr:row>2</xdr:row>
      <xdr:rowOff>142875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9550" y="171450"/>
          <a:ext cx="3714750" cy="73342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57150</xdr:rowOff>
        </xdr:from>
        <xdr:to>
          <xdr:col>1</xdr:col>
          <xdr:colOff>1409700</xdr:colOff>
          <xdr:row>2</xdr:row>
          <xdr:rowOff>152400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57150</xdr:rowOff>
        </xdr:from>
        <xdr:to>
          <xdr:col>1</xdr:col>
          <xdr:colOff>1409700</xdr:colOff>
          <xdr:row>2</xdr:row>
          <xdr:rowOff>152400</xdr:rowOff>
        </xdr:to>
        <xdr:sp macro="" textlink="">
          <xdr:nvSpPr>
            <xdr:cNvPr id="15368" name="Object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3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76728" y="98051"/>
          <a:ext cx="6541196" cy="4429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Ministério da Integração e do Desenvolvimento Regional - MIDR</a:t>
          </a:r>
          <a:endParaRPr lang="pt-BR" sz="900" b="1"/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1831596" cy="470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338667</xdr:colOff>
      <xdr:row>0</xdr:row>
      <xdr:rowOff>0</xdr:rowOff>
    </xdr:from>
    <xdr:to>
      <xdr:col>1</xdr:col>
      <xdr:colOff>1480230</xdr:colOff>
      <xdr:row>2</xdr:row>
      <xdr:rowOff>118223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667" y="0"/>
          <a:ext cx="1755396" cy="49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47626</xdr:rowOff>
    </xdr:from>
    <xdr:to>
      <xdr:col>1</xdr:col>
      <xdr:colOff>628650</xdr:colOff>
      <xdr:row>2</xdr:row>
      <xdr:rowOff>66676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47626"/>
          <a:ext cx="1571624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95250</xdr:rowOff>
    </xdr:from>
    <xdr:to>
      <xdr:col>1</xdr:col>
      <xdr:colOff>266700</xdr:colOff>
      <xdr:row>4</xdr:row>
      <xdr:rowOff>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8175" y="266700"/>
          <a:ext cx="2638425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</xdr:row>
      <xdr:rowOff>8890</xdr:rowOff>
    </xdr:from>
    <xdr:to>
      <xdr:col>5</xdr:col>
      <xdr:colOff>1078230</xdr:colOff>
      <xdr:row>4</xdr:row>
      <xdr:rowOff>9525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609600" y="180340"/>
          <a:ext cx="7012305" cy="90551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00" b="1" baseline="0"/>
            <a:t>			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Ministério da Integração e do Desenvolvimento Regional - MIDR</a:t>
          </a:r>
          <a:endParaRPr lang="pt-BR" sz="1000" b="1"/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GRD/UIP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eandro.carvalho\Documents\BAIXIO%20IRECE-RECUP_ESTRUTRURAS%20DRENAGEM\Anexo%20III%20-%20Planilhas%20Or&#231;ament&#225;ria%20ATUALIZ_REV2023.xlsx" TargetMode="External"/><Relationship Id="rId1" Type="http://schemas.openxmlformats.org/officeDocument/2006/relationships/externalLinkPath" Target="file:///C:\Users\leandro.carvalho\Documents\BAIXIO%20IRECE-RECUP_ESTRUTRURAS%20DRENAGEM\Anexo%20III%20-%20Planilhas%20Or&#231;ament&#225;ria%20ATUALIZ_REV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aniel.munhoz\Downloads\Anexo%20III%20-%20Planilhas%20Or&#231;ament&#225;ria%20ATUALIZ_REV2023.xlsx" TargetMode="External"/><Relationship Id="rId1" Type="http://schemas.openxmlformats.org/officeDocument/2006/relationships/externalLinkPath" Target="file:///C:\Users\daniel.munhoz\Downloads\Anexo%20III%20-%20Planilhas%20Or&#231;ament&#225;ria%20ATUALIZ_REV2023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aniel.munhoz\Desktop\Cota&#231;&#227;o\Bueiros\Pregao_Recop_Taludes\Anexo%20III%20-%20Planilhas%20Or&#231;ament&#225;ria.xlsx" TargetMode="External"/><Relationship Id="rId1" Type="http://schemas.openxmlformats.org/officeDocument/2006/relationships/externalLinkPath" Target="file:///C:\Users\daniel.munhoz\Desktop\Cota&#231;&#227;o\Bueiros\Pregao_Recop_Taludes\Anexo%20III%20-%20Planilhas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çamento Sintético"/>
      <sheetName val="Cronograma"/>
      <sheetName val="Memória de Cálculo"/>
      <sheetName val="CPU Sicro"/>
      <sheetName val="CPU Codevasf"/>
      <sheetName val="Mobilização"/>
      <sheetName val="BDI"/>
      <sheetName val="Encargos Sociais"/>
      <sheetName val="Planilha1"/>
      <sheetName val="Rasc Crono"/>
    </sheetNames>
    <sheetDataSet>
      <sheetData sheetId="0">
        <row r="11">
          <cell r="I11">
            <v>69946.28</v>
          </cell>
        </row>
      </sheetData>
      <sheetData sheetId="1"/>
      <sheetData sheetId="2"/>
      <sheetData sheetId="3"/>
      <sheetData sheetId="4"/>
      <sheetData sheetId="5"/>
      <sheetData sheetId="6">
        <row r="36">
          <cell r="D36">
            <v>0.26215172413793097</v>
          </cell>
        </row>
      </sheetData>
      <sheetData sheetId="7">
        <row r="52">
          <cell r="F52">
            <v>1.1446999999999998</v>
          </cell>
        </row>
      </sheetData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çamento Sintético"/>
      <sheetName val="Cronograma"/>
      <sheetName val="Memória de Cálculo"/>
      <sheetName val="CPU Sicro"/>
      <sheetName val="CPU Codevasf"/>
      <sheetName val="Mobilização"/>
      <sheetName val="BDI"/>
      <sheetName val="Encargos Sociais"/>
      <sheetName val="Planilha1"/>
      <sheetName val="Rasc Crono"/>
    </sheetNames>
    <sheetDataSet>
      <sheetData sheetId="0">
        <row r="4">
          <cell r="A4" t="str">
            <v>Recomposição de taludes e bueiro no Perímetro Irrigado do Baixio de Irecê, no município de Xique-Xique, na área de abrangência 2ª Superintendência Regional da CODEVASF, no estado da Bahia.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25">
          <cell r="F25">
            <v>9979</v>
          </cell>
        </row>
      </sheetData>
      <sheetData sheetId="6">
        <row r="36">
          <cell r="D36">
            <v>0.26215172413793097</v>
          </cell>
        </row>
      </sheetData>
      <sheetData sheetId="7">
        <row r="52">
          <cell r="F52">
            <v>1.1446999999999998</v>
          </cell>
          <cell r="G52">
            <v>0.70909999999999995</v>
          </cell>
        </row>
      </sheetData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çamento Sintético"/>
      <sheetName val="Cronograma"/>
      <sheetName val="Memória de Cálculo"/>
      <sheetName val="CPU Sicro"/>
      <sheetName val="CPU Codevasf"/>
      <sheetName val="Mobilização"/>
      <sheetName val="BDI"/>
      <sheetName val="Encargos Sociais"/>
      <sheetName val="Rasc Crono"/>
      <sheetName val="Planilha1"/>
    </sheetNames>
    <sheetDataSet>
      <sheetData sheetId="0">
        <row r="4">
          <cell r="A4" t="str">
            <v>Recomposição de taludes e bueiro no Perímetro Irrigado do Baixio de Irecê, no município de Xique-Xique, na área de abrangência 2ª Superintendência Regional da CODEVASF, no estado da Bahia.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81172-77D5-4BCE-93D8-473F35E9CED2}">
  <dimension ref="A1:N178"/>
  <sheetViews>
    <sheetView tabSelected="1" view="pageBreakPreview" zoomScale="70" zoomScaleNormal="80" zoomScaleSheetLayoutView="70" workbookViewId="0">
      <selection activeCell="K3" sqref="K3"/>
    </sheetView>
  </sheetViews>
  <sheetFormatPr defaultRowHeight="15" x14ac:dyDescent="0.25"/>
  <cols>
    <col min="1" max="1" width="11.5703125" style="48" bestFit="1" customWidth="1"/>
    <col min="2" max="2" width="13.85546875" style="48" hidden="1" customWidth="1"/>
    <col min="3" max="3" width="19.42578125" style="3" hidden="1" customWidth="1"/>
    <col min="4" max="4" width="93.140625" style="48" bestFit="1" customWidth="1"/>
    <col min="5" max="5" width="11" style="48" hidden="1" customWidth="1"/>
    <col min="6" max="6" width="16.140625" style="253" hidden="1" customWidth="1"/>
    <col min="7" max="7" width="15" style="48" bestFit="1" customWidth="1"/>
    <col min="8" max="8" width="17.85546875" style="48" bestFit="1" customWidth="1"/>
    <col min="9" max="9" width="24.28515625" style="48" bestFit="1" customWidth="1"/>
    <col min="10" max="10" width="13.42578125" style="48" bestFit="1" customWidth="1"/>
    <col min="11" max="11" width="15" style="48" bestFit="1" customWidth="1"/>
    <col min="12" max="12" width="16.5703125" style="48" bestFit="1" customWidth="1"/>
    <col min="13" max="16384" width="9.140625" style="48"/>
  </cols>
  <sheetData>
    <row r="1" spans="1:14" ht="24" customHeight="1" x14ac:dyDescent="0.25">
      <c r="A1" s="440" t="s">
        <v>664</v>
      </c>
      <c r="B1" s="441"/>
      <c r="C1" s="441"/>
      <c r="D1" s="441"/>
      <c r="E1" s="441"/>
      <c r="F1" s="441"/>
      <c r="G1" s="441"/>
      <c r="H1" s="441"/>
      <c r="I1" s="442"/>
      <c r="J1" s="182"/>
    </row>
    <row r="2" spans="1:14" ht="26.25" customHeight="1" x14ac:dyDescent="0.25">
      <c r="A2" s="443" t="s">
        <v>48</v>
      </c>
      <c r="B2" s="444"/>
      <c r="C2" s="444"/>
      <c r="D2" s="444"/>
      <c r="E2" s="444"/>
      <c r="F2" s="444"/>
      <c r="G2" s="444"/>
      <c r="H2" s="444"/>
      <c r="I2" s="445"/>
      <c r="J2" s="182"/>
    </row>
    <row r="3" spans="1:14" ht="20.25" customHeight="1" thickBot="1" x14ac:dyDescent="0.3">
      <c r="A3" s="446" t="s">
        <v>49</v>
      </c>
      <c r="B3" s="447"/>
      <c r="C3" s="447"/>
      <c r="D3" s="447"/>
      <c r="E3" s="447"/>
      <c r="F3" s="447"/>
      <c r="G3" s="447"/>
      <c r="H3" s="447"/>
      <c r="I3" s="448"/>
      <c r="J3" s="182"/>
    </row>
    <row r="4" spans="1:14" ht="33" customHeight="1" thickBot="1" x14ac:dyDescent="0.3">
      <c r="A4" s="449" t="s">
        <v>73</v>
      </c>
      <c r="B4" s="450"/>
      <c r="C4" s="450"/>
      <c r="D4" s="450"/>
      <c r="E4" s="450"/>
      <c r="F4" s="450"/>
      <c r="G4" s="450"/>
      <c r="H4" s="450"/>
      <c r="I4" s="451"/>
      <c r="J4" s="183"/>
    </row>
    <row r="5" spans="1:14" ht="24" customHeight="1" thickBot="1" x14ac:dyDescent="0.3">
      <c r="A5" s="452" t="s">
        <v>480</v>
      </c>
      <c r="B5" s="453"/>
      <c r="C5" s="453"/>
      <c r="D5" s="453"/>
      <c r="E5" s="453"/>
      <c r="F5" s="245"/>
      <c r="G5" s="187"/>
      <c r="H5" s="187"/>
      <c r="I5" s="188"/>
      <c r="J5" s="184"/>
    </row>
    <row r="6" spans="1:14" ht="24" customHeight="1" x14ac:dyDescent="0.25">
      <c r="A6" s="146"/>
      <c r="B6" s="181"/>
      <c r="C6" s="181"/>
      <c r="D6" s="189"/>
      <c r="E6" s="181"/>
      <c r="F6" s="246"/>
      <c r="G6" s="454" t="s">
        <v>50</v>
      </c>
      <c r="H6" s="455"/>
      <c r="I6" s="147">
        <f>'[3]Encargos Sociais'!F52</f>
        <v>1.1446999999999998</v>
      </c>
      <c r="J6" s="185"/>
      <c r="N6" s="148"/>
    </row>
    <row r="7" spans="1:14" ht="24" customHeight="1" thickBot="1" x14ac:dyDescent="0.3">
      <c r="A7" s="146" t="s">
        <v>51</v>
      </c>
      <c r="B7" s="361"/>
      <c r="C7" s="361" t="s">
        <v>479</v>
      </c>
      <c r="D7" s="361" t="s">
        <v>479</v>
      </c>
      <c r="E7" s="181"/>
      <c r="F7" s="246"/>
      <c r="G7" s="456" t="s">
        <v>52</v>
      </c>
      <c r="H7" s="457"/>
      <c r="I7" s="149">
        <f>[3]BDI!D36</f>
        <v>0.26215172413793097</v>
      </c>
      <c r="J7" s="185"/>
      <c r="N7" s="148"/>
    </row>
    <row r="8" spans="1:14" ht="24" customHeight="1" thickBot="1" x14ac:dyDescent="0.3">
      <c r="A8" s="458" t="s">
        <v>666</v>
      </c>
      <c r="B8" s="459"/>
      <c r="C8" s="459"/>
      <c r="D8" s="459"/>
      <c r="E8" s="459"/>
      <c r="F8" s="459"/>
      <c r="G8" s="459"/>
      <c r="H8" s="459"/>
      <c r="I8" s="460"/>
      <c r="J8" s="186"/>
    </row>
    <row r="9" spans="1:14" s="3" customFormat="1" ht="27" customHeight="1" x14ac:dyDescent="0.25">
      <c r="A9" s="383" t="s">
        <v>53</v>
      </c>
      <c r="B9" s="384" t="s">
        <v>8</v>
      </c>
      <c r="C9" s="384" t="s">
        <v>54</v>
      </c>
      <c r="D9" s="384" t="s">
        <v>55</v>
      </c>
      <c r="E9" s="384" t="s">
        <v>56</v>
      </c>
      <c r="F9" s="385" t="s">
        <v>57</v>
      </c>
      <c r="G9" s="434" t="s">
        <v>481</v>
      </c>
      <c r="H9" s="433" t="s">
        <v>58</v>
      </c>
      <c r="I9" s="386" t="s">
        <v>17</v>
      </c>
    </row>
    <row r="10" spans="1:14" ht="25.5" customHeight="1" x14ac:dyDescent="0.25">
      <c r="A10" s="395">
        <v>1</v>
      </c>
      <c r="B10" s="396"/>
      <c r="C10" s="397"/>
      <c r="D10" s="398" t="s">
        <v>636</v>
      </c>
      <c r="E10" s="396"/>
      <c r="F10" s="399"/>
      <c r="G10" s="461" t="s">
        <v>650</v>
      </c>
      <c r="H10" s="462"/>
      <c r="I10" s="400">
        <f>SUM(I11:I14)</f>
        <v>55100.039999999994</v>
      </c>
      <c r="J10" s="299"/>
      <c r="K10" s="150"/>
    </row>
    <row r="11" spans="1:14" ht="25.5" hidden="1" customHeight="1" x14ac:dyDescent="0.25">
      <c r="A11" s="387" t="s">
        <v>1</v>
      </c>
      <c r="B11" s="388" t="s">
        <v>59</v>
      </c>
      <c r="C11" s="389" t="s">
        <v>60</v>
      </c>
      <c r="D11" s="390" t="s">
        <v>4</v>
      </c>
      <c r="E11" s="389" t="s">
        <v>493</v>
      </c>
      <c r="F11" s="391">
        <v>1</v>
      </c>
      <c r="G11" s="392">
        <f>'CPU Codevasf'!H14</f>
        <v>33179.46</v>
      </c>
      <c r="H11" s="393">
        <f t="shared" ref="H11:H14" si="0">((G11*$I$7)+G11)</f>
        <v>41877.512644965514</v>
      </c>
      <c r="I11" s="394">
        <f t="shared" ref="I11:I14" si="1">ROUND(H11*F11,2)</f>
        <v>41877.51</v>
      </c>
      <c r="J11" s="299"/>
      <c r="K11" s="150"/>
      <c r="L11" s="359">
        <f>I11/3</f>
        <v>13959.17</v>
      </c>
      <c r="N11" s="148"/>
    </row>
    <row r="12" spans="1:14" ht="25.5" hidden="1" customHeight="1" x14ac:dyDescent="0.25">
      <c r="A12" s="193" t="s">
        <v>61</v>
      </c>
      <c r="B12" s="226" t="s">
        <v>62</v>
      </c>
      <c r="C12" s="198" t="s">
        <v>60</v>
      </c>
      <c r="D12" s="233" t="s">
        <v>63</v>
      </c>
      <c r="E12" s="198" t="s">
        <v>264</v>
      </c>
      <c r="F12" s="243">
        <v>1</v>
      </c>
      <c r="G12" s="234">
        <f>'CPU Codevasf'!H24</f>
        <v>3895.3799999999997</v>
      </c>
      <c r="H12" s="222">
        <f t="shared" si="0"/>
        <v>4916.5605831724133</v>
      </c>
      <c r="I12" s="223">
        <f t="shared" si="1"/>
        <v>4916.5600000000004</v>
      </c>
      <c r="J12" s="299"/>
      <c r="K12" s="150"/>
      <c r="L12" s="359">
        <f>L11*3</f>
        <v>41877.51</v>
      </c>
    </row>
    <row r="13" spans="1:14" ht="25.5" hidden="1" customHeight="1" x14ac:dyDescent="0.25">
      <c r="A13" s="193" t="s">
        <v>64</v>
      </c>
      <c r="B13" s="226" t="s">
        <v>62</v>
      </c>
      <c r="C13" s="198" t="s">
        <v>60</v>
      </c>
      <c r="D13" s="233" t="s">
        <v>65</v>
      </c>
      <c r="E13" s="198" t="s">
        <v>433</v>
      </c>
      <c r="F13" s="243">
        <v>1</v>
      </c>
      <c r="G13" s="234">
        <f>'CPU Codevasf'!H24</f>
        <v>3895.3799999999997</v>
      </c>
      <c r="H13" s="222">
        <f t="shared" si="0"/>
        <v>4916.5605831724133</v>
      </c>
      <c r="I13" s="223">
        <f t="shared" si="1"/>
        <v>4916.5600000000004</v>
      </c>
      <c r="J13" s="299"/>
      <c r="K13" s="150"/>
    </row>
    <row r="14" spans="1:14" ht="25.5" hidden="1" customHeight="1" x14ac:dyDescent="0.25">
      <c r="A14" s="401" t="s">
        <v>5</v>
      </c>
      <c r="B14" s="402" t="s">
        <v>66</v>
      </c>
      <c r="C14" s="403" t="s">
        <v>60</v>
      </c>
      <c r="D14" s="404" t="s">
        <v>658</v>
      </c>
      <c r="E14" s="403" t="s">
        <v>494</v>
      </c>
      <c r="F14" s="405">
        <v>6</v>
      </c>
      <c r="G14" s="406">
        <f>'CPU Codevasf'!H41</f>
        <v>447.57000000000005</v>
      </c>
      <c r="H14" s="407">
        <f t="shared" si="0"/>
        <v>564.90124717241383</v>
      </c>
      <c r="I14" s="408">
        <f t="shared" si="1"/>
        <v>3389.41</v>
      </c>
      <c r="J14" s="299"/>
      <c r="K14" s="150"/>
    </row>
    <row r="15" spans="1:14" ht="22.5" customHeight="1" x14ac:dyDescent="0.25">
      <c r="A15" s="395">
        <v>2</v>
      </c>
      <c r="B15" s="396"/>
      <c r="C15" s="397"/>
      <c r="D15" s="398" t="s">
        <v>482</v>
      </c>
      <c r="E15" s="396"/>
      <c r="F15" s="399"/>
      <c r="G15" s="461" t="s">
        <v>650</v>
      </c>
      <c r="H15" s="462"/>
      <c r="I15" s="400">
        <f>SUM(I16,I23,I29,I40,I49,I62,I76,I85,I99,I107,I111,I117,I124,I128,I142,I151,I159)</f>
        <v>90085.459999999992</v>
      </c>
      <c r="J15" s="299"/>
      <c r="K15" s="150"/>
    </row>
    <row r="16" spans="1:14" ht="22.5" customHeight="1" x14ac:dyDescent="0.25">
      <c r="A16" s="409" t="s">
        <v>68</v>
      </c>
      <c r="B16" s="410"/>
      <c r="C16" s="411"/>
      <c r="D16" s="412" t="s">
        <v>268</v>
      </c>
      <c r="E16" s="410"/>
      <c r="F16" s="413"/>
      <c r="G16" s="463" t="s">
        <v>649</v>
      </c>
      <c r="H16" s="464"/>
      <c r="I16" s="414">
        <f>SUM(I18:I22)</f>
        <v>656.4</v>
      </c>
      <c r="J16" s="299"/>
      <c r="K16" s="150"/>
    </row>
    <row r="17" spans="1:12" ht="22.5" hidden="1" customHeight="1" x14ac:dyDescent="0.2">
      <c r="A17" s="211"/>
      <c r="B17" s="209"/>
      <c r="C17" s="209"/>
      <c r="D17" s="219" t="s">
        <v>270</v>
      </c>
      <c r="E17" s="198"/>
      <c r="F17" s="247"/>
      <c r="G17" s="221"/>
      <c r="H17" s="222"/>
      <c r="I17" s="223"/>
      <c r="J17" s="299"/>
      <c r="K17" s="150"/>
    </row>
    <row r="18" spans="1:12" ht="22.5" hidden="1" customHeight="1" x14ac:dyDescent="0.2">
      <c r="A18" s="211" t="s">
        <v>484</v>
      </c>
      <c r="B18" s="271">
        <v>4805750</v>
      </c>
      <c r="C18" s="209" t="s">
        <v>14</v>
      </c>
      <c r="D18" s="197" t="str">
        <f>VLOOKUP(B18,'CPU serviços'!B:G,3,0)</f>
        <v xml:space="preserve">Escavação manual em material de 1ª categoria na profundidade de até 1 m </v>
      </c>
      <c r="E18" s="198" t="str">
        <f>VLOOKUP(B18,'CPU serviços'!B:G,4,0)</f>
        <v>m³</v>
      </c>
      <c r="F18" s="247">
        <f>'MEMORIA DE CALCULO'!G10</f>
        <v>0.24</v>
      </c>
      <c r="G18" s="221">
        <f>VLOOKUP(B18,'CPU serviços'!B:G,5,0)</f>
        <v>41.95</v>
      </c>
      <c r="H18" s="222">
        <f t="shared" ref="H18:H39" si="2">((G18*$I$7)+G18)</f>
        <v>52.94726482758621</v>
      </c>
      <c r="I18" s="223">
        <f t="shared" ref="I18:I22" si="3">ROUND(H18*F18,2)</f>
        <v>12.71</v>
      </c>
      <c r="J18" s="299"/>
      <c r="K18" s="150"/>
      <c r="L18" s="48">
        <v>3</v>
      </c>
    </row>
    <row r="19" spans="1:12" ht="22.5" hidden="1" customHeight="1" x14ac:dyDescent="0.2">
      <c r="A19" s="211" t="s">
        <v>485</v>
      </c>
      <c r="B19" s="191">
        <v>1106057</v>
      </c>
      <c r="C19" s="209" t="s">
        <v>14</v>
      </c>
      <c r="D19" s="197" t="str">
        <f>VLOOKUP(B19,'CPU serviços'!B:G,3,0)</f>
        <v>Concreto magro - confecção em betoneira e lançamento manual - areia e brita comerciais</v>
      </c>
      <c r="E19" s="198" t="str">
        <f>VLOOKUP(B19,'CPU serviços'!B:G,4,0)</f>
        <v>m³</v>
      </c>
      <c r="F19" s="247">
        <f>'MEMORIA DE CALCULO'!G10</f>
        <v>0.24</v>
      </c>
      <c r="G19" s="221">
        <f>VLOOKUP(B19,'CPU serviços'!B:G,5,0)</f>
        <v>477.58</v>
      </c>
      <c r="H19" s="222">
        <f t="shared" si="2"/>
        <v>602.77842041379301</v>
      </c>
      <c r="I19" s="223">
        <f t="shared" si="3"/>
        <v>144.66999999999999</v>
      </c>
      <c r="J19" s="299"/>
      <c r="K19" s="150"/>
    </row>
    <row r="20" spans="1:12" ht="45" hidden="1" x14ac:dyDescent="0.2">
      <c r="A20" s="211" t="s">
        <v>486</v>
      </c>
      <c r="B20" s="191">
        <v>97086</v>
      </c>
      <c r="C20" s="209" t="s">
        <v>10</v>
      </c>
      <c r="D20" s="197" t="str">
        <f>VLOOKUP(B20,'CPU serviços'!B:G,3,0)</f>
        <v>FABRICAÇÃO, MONTAGEM E DESMONTAGEM DE FORMA PARA RADIER, PISO DE CONCRETO OU LAJE SOBRE SOLO, EM MADEIRA SERRADA, 4 UTILIZAÇÕES. AF_09/2021</v>
      </c>
      <c r="E20" s="198" t="str">
        <f>VLOOKUP(B20,'CPU serviços'!B:G,4,0)</f>
        <v>m²</v>
      </c>
      <c r="F20" s="247">
        <f>'MEMORIA DE CALCULO'!G12</f>
        <v>0.4</v>
      </c>
      <c r="G20" s="221">
        <f>VLOOKUP(B20,'CPU serviços'!B:G,5,0)</f>
        <v>135.6</v>
      </c>
      <c r="H20" s="222">
        <f t="shared" si="2"/>
        <v>171.14777379310343</v>
      </c>
      <c r="I20" s="223">
        <f t="shared" si="3"/>
        <v>68.459999999999994</v>
      </c>
      <c r="J20" s="299"/>
      <c r="K20" s="150"/>
    </row>
    <row r="21" spans="1:12" ht="22.5" hidden="1" customHeight="1" x14ac:dyDescent="0.2">
      <c r="A21" s="211" t="s">
        <v>487</v>
      </c>
      <c r="B21" s="356">
        <v>4915710</v>
      </c>
      <c r="C21" s="209" t="s">
        <v>14</v>
      </c>
      <c r="D21" s="197" t="str">
        <f>VLOOKUP(B21,'CPU serviços'!B:G,3,0)</f>
        <v xml:space="preserve">Limpeza de vala de drenagem </v>
      </c>
      <c r="E21" s="198" t="str">
        <f>VLOOKUP(B21,'CPU serviços'!B:G,4,0)</f>
        <v>m</v>
      </c>
      <c r="F21" s="247">
        <f>'MEMORIA DE CALCULO'!D11</f>
        <v>7</v>
      </c>
      <c r="G21" s="221">
        <f>VLOOKUP(B21,'CPU serviços'!B:G,5,0)</f>
        <v>4.1399999999999997</v>
      </c>
      <c r="H21" s="222">
        <f t="shared" si="2"/>
        <v>5.2253081379310338</v>
      </c>
      <c r="I21" s="223">
        <f t="shared" si="3"/>
        <v>36.58</v>
      </c>
      <c r="J21" s="299"/>
      <c r="K21" s="150"/>
    </row>
    <row r="22" spans="1:12" ht="30" hidden="1" x14ac:dyDescent="0.2">
      <c r="A22" s="211" t="s">
        <v>644</v>
      </c>
      <c r="B22" s="191">
        <v>98529</v>
      </c>
      <c r="C22" s="209" t="s">
        <v>10</v>
      </c>
      <c r="D22" s="197" t="str">
        <f>VLOOKUP(B22,'CPU serviços'!B:G,3,0)</f>
        <v>CORTE RASO E RECORTE DE ÁRVORE COM DIÂMETRO DE TRONCO MAIOR OU IGUAL A 0,20 M E MENOR QUE 0,40 M.AF_05/2018</v>
      </c>
      <c r="E22" s="198" t="str">
        <f>VLOOKUP(B22,'CPU serviços'!B:G,4,0)</f>
        <v>UN</v>
      </c>
      <c r="F22" s="247">
        <f>'MEMORIA DE CALCULO'!G14</f>
        <v>5</v>
      </c>
      <c r="G22" s="221">
        <f>VLOOKUP(B22,'CPU serviços'!B:G,5,0)</f>
        <v>62.43</v>
      </c>
      <c r="H22" s="222">
        <f t="shared" si="2"/>
        <v>78.796132137931039</v>
      </c>
      <c r="I22" s="223">
        <f t="shared" si="3"/>
        <v>393.98</v>
      </c>
      <c r="J22" s="299"/>
      <c r="K22" s="174"/>
    </row>
    <row r="23" spans="1:12" ht="22.5" customHeight="1" x14ac:dyDescent="0.25">
      <c r="A23" s="266" t="s">
        <v>69</v>
      </c>
      <c r="B23" s="267"/>
      <c r="C23" s="294"/>
      <c r="D23" s="268" t="s">
        <v>284</v>
      </c>
      <c r="E23" s="267"/>
      <c r="F23" s="269"/>
      <c r="G23" s="438" t="s">
        <v>649</v>
      </c>
      <c r="H23" s="439"/>
      <c r="I23" s="270">
        <f>SUM(I25:I28)</f>
        <v>954.75</v>
      </c>
      <c r="J23" s="299"/>
      <c r="K23" s="174"/>
    </row>
    <row r="24" spans="1:12" ht="22.5" hidden="1" customHeight="1" x14ac:dyDescent="0.2">
      <c r="A24" s="193"/>
      <c r="B24" s="196"/>
      <c r="C24" s="198"/>
      <c r="D24" s="224" t="s">
        <v>270</v>
      </c>
      <c r="E24" s="198"/>
      <c r="F24" s="248"/>
      <c r="G24" s="221"/>
      <c r="H24" s="222"/>
      <c r="I24" s="223"/>
      <c r="J24" s="299"/>
      <c r="K24" s="174"/>
    </row>
    <row r="25" spans="1:12" ht="22.5" hidden="1" customHeight="1" x14ac:dyDescent="0.2">
      <c r="A25" s="193" t="s">
        <v>489</v>
      </c>
      <c r="B25" s="196">
        <v>4915713</v>
      </c>
      <c r="C25" s="209" t="s">
        <v>14</v>
      </c>
      <c r="D25" s="197" t="str">
        <f>VLOOKUP(B25,'CPU serviços'!B:G,3,0)</f>
        <v xml:space="preserve"> Desobstrução de bueiro</v>
      </c>
      <c r="E25" s="198" t="str">
        <f>VLOOKUP(B25,'CPU serviços'!B:G,4,0)</f>
        <v>m³</v>
      </c>
      <c r="F25" s="248">
        <f>'MEMORIA DE CALCULO'!G21</f>
        <v>1.05</v>
      </c>
      <c r="G25" s="221">
        <f>VLOOKUP(B25,'CPU serviços'!B:G,5,0)</f>
        <v>62.04</v>
      </c>
      <c r="H25" s="222">
        <f t="shared" si="2"/>
        <v>78.303892965517235</v>
      </c>
      <c r="I25" s="223">
        <f t="shared" ref="I25:I39" si="4">ROUND(H25*F25,2)</f>
        <v>82.22</v>
      </c>
      <c r="J25" s="299"/>
      <c r="K25" s="174"/>
    </row>
    <row r="26" spans="1:12" s="151" customFormat="1" ht="22.5" hidden="1" customHeight="1" x14ac:dyDescent="0.25">
      <c r="A26" s="193"/>
      <c r="B26" s="158"/>
      <c r="C26" s="198"/>
      <c r="D26" s="224" t="s">
        <v>275</v>
      </c>
      <c r="E26" s="198"/>
      <c r="F26" s="248"/>
      <c r="G26" s="221"/>
      <c r="H26" s="222"/>
      <c r="I26" s="223"/>
      <c r="J26" s="299"/>
    </row>
    <row r="27" spans="1:12" s="151" customFormat="1" ht="22.5" hidden="1" customHeight="1" x14ac:dyDescent="0.2">
      <c r="A27" s="193" t="s">
        <v>490</v>
      </c>
      <c r="B27" s="196">
        <v>4915713</v>
      </c>
      <c r="C27" s="209" t="s">
        <v>14</v>
      </c>
      <c r="D27" s="197" t="str">
        <f>VLOOKUP(B27,'CPU serviços'!B:G,3,0)</f>
        <v xml:space="preserve"> Desobstrução de bueiro</v>
      </c>
      <c r="E27" s="198" t="str">
        <f>VLOOKUP(B27,'CPU serviços'!B:G,4,0)</f>
        <v>m³</v>
      </c>
      <c r="F27" s="248">
        <f>'MEMORIA DE CALCULO'!G24</f>
        <v>1.08</v>
      </c>
      <c r="G27" s="221">
        <f>VLOOKUP(B27,'CPU serviços'!B:G,5,0)</f>
        <v>62.04</v>
      </c>
      <c r="H27" s="222">
        <f t="shared" si="2"/>
        <v>78.303892965517235</v>
      </c>
      <c r="I27" s="223">
        <f t="shared" si="4"/>
        <v>84.57</v>
      </c>
      <c r="J27" s="299"/>
    </row>
    <row r="28" spans="1:12" s="152" customFormat="1" ht="30" hidden="1" x14ac:dyDescent="0.2">
      <c r="A28" s="193" t="s">
        <v>600</v>
      </c>
      <c r="B28" s="191">
        <v>98529</v>
      </c>
      <c r="C28" s="198" t="s">
        <v>10</v>
      </c>
      <c r="D28" s="197" t="str">
        <f>VLOOKUP(B28,'CPU serviços'!B:G,3,0)</f>
        <v>CORTE RASO E RECORTE DE ÁRVORE COM DIÂMETRO DE TRONCO MAIOR OU IGUAL A 0,20 M E MENOR QUE 0,40 M.AF_05/2018</v>
      </c>
      <c r="E28" s="198" t="str">
        <f>VLOOKUP(B28,'CPU serviços'!B:G,4,0)</f>
        <v>UN</v>
      </c>
      <c r="F28" s="248">
        <f>'MEMORIA DE CALCULO'!G25</f>
        <v>10</v>
      </c>
      <c r="G28" s="221">
        <f>VLOOKUP(B28,'CPU serviços'!B:G,5,0)</f>
        <v>62.43</v>
      </c>
      <c r="H28" s="222">
        <f t="shared" si="2"/>
        <v>78.796132137931039</v>
      </c>
      <c r="I28" s="223">
        <f t="shared" si="4"/>
        <v>787.96</v>
      </c>
      <c r="J28" s="299"/>
    </row>
    <row r="29" spans="1:12" s="152" customFormat="1" ht="22.5" customHeight="1" x14ac:dyDescent="0.25">
      <c r="A29" s="266" t="s">
        <v>495</v>
      </c>
      <c r="B29" s="267"/>
      <c r="C29" s="294"/>
      <c r="D29" s="268" t="s">
        <v>288</v>
      </c>
      <c r="E29" s="267"/>
      <c r="F29" s="269"/>
      <c r="G29" s="438" t="s">
        <v>649</v>
      </c>
      <c r="H29" s="439"/>
      <c r="I29" s="270">
        <f>SUM(I31:I39)</f>
        <v>5234.97</v>
      </c>
      <c r="J29" s="299"/>
    </row>
    <row r="30" spans="1:12" s="152" customFormat="1" ht="22.5" hidden="1" customHeight="1" x14ac:dyDescent="0.2">
      <c r="A30" s="193"/>
      <c r="B30" s="196"/>
      <c r="C30" s="198"/>
      <c r="D30" s="225" t="s">
        <v>270</v>
      </c>
      <c r="E30" s="198"/>
      <c r="F30" s="248"/>
      <c r="G30" s="221"/>
      <c r="H30" s="222"/>
      <c r="I30" s="223"/>
      <c r="J30" s="299"/>
    </row>
    <row r="31" spans="1:12" s="152" customFormat="1" ht="30" hidden="1" x14ac:dyDescent="0.2">
      <c r="A31" s="193" t="s">
        <v>592</v>
      </c>
      <c r="B31" s="191">
        <v>97622</v>
      </c>
      <c r="C31" s="198" t="s">
        <v>10</v>
      </c>
      <c r="D31" s="197" t="str">
        <f>VLOOKUP(B31,'CPU serviços'!B:G,3,0)</f>
        <v>DEMOLIÇÃO DE ALVENARIA DE BLOCO FURADO, DE FORMA MANUAL, SEM REAPROVEITAMENTO. AF_12/2017</v>
      </c>
      <c r="E31" s="198" t="str">
        <f>VLOOKUP(B31,'CPU serviços'!B:G,4,0)</f>
        <v>m³</v>
      </c>
      <c r="F31" s="248">
        <f>'MEMORIA DE CALCULO'!G28</f>
        <v>0.33749999999999997</v>
      </c>
      <c r="G31" s="221">
        <f>VLOOKUP(B31,'CPU serviços'!B:G,5,0)</f>
        <v>56.79</v>
      </c>
      <c r="H31" s="222">
        <f t="shared" si="2"/>
        <v>71.677596413793097</v>
      </c>
      <c r="I31" s="223">
        <f t="shared" si="4"/>
        <v>24.19</v>
      </c>
      <c r="J31" s="299"/>
    </row>
    <row r="32" spans="1:12" ht="22.5" hidden="1" customHeight="1" x14ac:dyDescent="0.25">
      <c r="A32" s="193" t="s">
        <v>593</v>
      </c>
      <c r="B32" s="196">
        <v>4915713</v>
      </c>
      <c r="C32" s="198" t="s">
        <v>14</v>
      </c>
      <c r="D32" s="197" t="str">
        <f>VLOOKUP(B32,'CPU serviços'!B:G,3,0)</f>
        <v xml:space="preserve"> Desobstrução de bueiro</v>
      </c>
      <c r="E32" s="198" t="str">
        <f>VLOOKUP(B32,'CPU serviços'!B:G,4,0)</f>
        <v>m³</v>
      </c>
      <c r="F32" s="249">
        <f>'MEMORIA DE CALCULO'!G29</f>
        <v>13.5</v>
      </c>
      <c r="G32" s="221">
        <f>VLOOKUP(B32,'CPU serviços'!B:G,5,0)</f>
        <v>62.04</v>
      </c>
      <c r="H32" s="222">
        <f t="shared" si="2"/>
        <v>78.303892965517235</v>
      </c>
      <c r="I32" s="223">
        <f t="shared" si="4"/>
        <v>1057.0999999999999</v>
      </c>
      <c r="J32" s="299"/>
      <c r="K32" s="150"/>
    </row>
    <row r="33" spans="1:11" ht="30" hidden="1" x14ac:dyDescent="0.25">
      <c r="A33" s="193" t="s">
        <v>594</v>
      </c>
      <c r="B33" s="191">
        <v>98529</v>
      </c>
      <c r="C33" s="198" t="s">
        <v>10</v>
      </c>
      <c r="D33" s="197" t="str">
        <f>VLOOKUP(B33,'CPU serviços'!B:G,3,0)</f>
        <v>CORTE RASO E RECORTE DE ÁRVORE COM DIÂMETRO DE TRONCO MAIOR OU IGUAL A 0,20 M E MENOR QUE 0,40 M.AF_05/2018</v>
      </c>
      <c r="E33" s="198" t="str">
        <f>VLOOKUP(B33,'CPU serviços'!B:G,4,0)</f>
        <v>UN</v>
      </c>
      <c r="F33" s="250">
        <f>'MEMORIA DE CALCULO'!G30</f>
        <v>6</v>
      </c>
      <c r="G33" s="221">
        <f>VLOOKUP(B33,'CPU serviços'!B:G,5,0)</f>
        <v>62.43</v>
      </c>
      <c r="H33" s="222">
        <f t="shared" si="2"/>
        <v>78.796132137931039</v>
      </c>
      <c r="I33" s="223">
        <f t="shared" si="4"/>
        <v>472.78</v>
      </c>
      <c r="J33" s="299"/>
      <c r="K33" s="150"/>
    </row>
    <row r="34" spans="1:11" ht="22.5" hidden="1" customHeight="1" x14ac:dyDescent="0.25">
      <c r="A34" s="193"/>
      <c r="B34" s="227"/>
      <c r="C34" s="198"/>
      <c r="D34" s="224" t="s">
        <v>275</v>
      </c>
      <c r="E34" s="198"/>
      <c r="F34" s="250"/>
      <c r="G34" s="221"/>
      <c r="H34" s="222"/>
      <c r="I34" s="223"/>
      <c r="J34" s="299"/>
      <c r="K34" s="150"/>
    </row>
    <row r="35" spans="1:11" ht="22.5" hidden="1" customHeight="1" x14ac:dyDescent="0.25">
      <c r="A35" s="193" t="s">
        <v>595</v>
      </c>
      <c r="B35" s="191">
        <v>4016008</v>
      </c>
      <c r="C35" s="198" t="s">
        <v>14</v>
      </c>
      <c r="D35" s="197" t="str">
        <f>VLOOKUP(B35,'CPU serviços'!B:G,3,0)</f>
        <v>Escavação e carga de material de jazida com trator de 127 kW e carregadeira de 3,4 m³</v>
      </c>
      <c r="E35" s="198" t="str">
        <f>VLOOKUP(B35,'CPU serviços'!B:G,4,0)</f>
        <v>m³</v>
      </c>
      <c r="F35" s="249">
        <f>'MEMORIA DE CALCULO'!G33</f>
        <v>75</v>
      </c>
      <c r="G35" s="221">
        <f>VLOOKUP(B35,'CPU serviços'!B:G,5,0)</f>
        <v>3.72</v>
      </c>
      <c r="H35" s="222">
        <f t="shared" si="2"/>
        <v>4.6952044137931033</v>
      </c>
      <c r="I35" s="223">
        <f t="shared" si="4"/>
        <v>352.14</v>
      </c>
      <c r="J35" s="299"/>
      <c r="K35" s="150"/>
    </row>
    <row r="36" spans="1:11" ht="22.5" hidden="1" customHeight="1" x14ac:dyDescent="0.25">
      <c r="A36" s="193" t="s">
        <v>596</v>
      </c>
      <c r="B36" s="191">
        <v>5914359</v>
      </c>
      <c r="C36" s="198" t="s">
        <v>14</v>
      </c>
      <c r="D36" s="197" t="str">
        <f>VLOOKUP(B36,'CPU serviços'!B:G,3,0)</f>
        <v>Transporte com caminhão basculante de 10 m³ - rodovia em leito natural</v>
      </c>
      <c r="E36" s="198" t="str">
        <f>VLOOKUP(B36,'CPU serviços'!B:G,4,0)</f>
        <v>tkm</v>
      </c>
      <c r="F36" s="249">
        <f>F35*1.6*2</f>
        <v>240</v>
      </c>
      <c r="G36" s="221">
        <f>VLOOKUP(B36,'CPU serviços'!B:G,5,0)</f>
        <v>1.2</v>
      </c>
      <c r="H36" s="222">
        <f t="shared" si="2"/>
        <v>1.5145820689655172</v>
      </c>
      <c r="I36" s="223">
        <f t="shared" si="4"/>
        <v>363.5</v>
      </c>
      <c r="J36" s="299"/>
      <c r="K36" s="150"/>
    </row>
    <row r="37" spans="1:11" ht="22.5" hidden="1" customHeight="1" x14ac:dyDescent="0.25">
      <c r="A37" s="193" t="s">
        <v>597</v>
      </c>
      <c r="B37" s="191">
        <v>4915774</v>
      </c>
      <c r="C37" s="198" t="s">
        <v>14</v>
      </c>
      <c r="D37" s="197" t="str">
        <f>VLOOKUP(B37,'CPU serviços'!B:G,3,0)</f>
        <v>Recomposição de erosão em corte ou aterro com material de jazida</v>
      </c>
      <c r="E37" s="198" t="str">
        <f>VLOOKUP(B37,'CPU serviços'!B:G,4,0)</f>
        <v>m³</v>
      </c>
      <c r="F37" s="247">
        <f>F35</f>
        <v>75</v>
      </c>
      <c r="G37" s="221">
        <f>VLOOKUP(B37,'CPU serviços'!B:G,5,0)</f>
        <v>23.08</v>
      </c>
      <c r="H37" s="222">
        <f t="shared" si="2"/>
        <v>29.130461793103443</v>
      </c>
      <c r="I37" s="223">
        <f t="shared" si="4"/>
        <v>2184.7800000000002</v>
      </c>
      <c r="J37" s="299"/>
      <c r="K37" s="150"/>
    </row>
    <row r="38" spans="1:11" ht="30" hidden="1" x14ac:dyDescent="0.25">
      <c r="A38" s="193" t="s">
        <v>598</v>
      </c>
      <c r="B38" s="191">
        <v>2004504</v>
      </c>
      <c r="C38" s="198" t="s">
        <v>14</v>
      </c>
      <c r="D38" s="197" t="str">
        <f>VLOOKUP(B38,'CPU serviços'!B:G,3,0)</f>
        <v xml:space="preserve">Escavação mecânica de vala para drenagem com valetadeira em material de 1ª categoria </v>
      </c>
      <c r="E38" s="198" t="str">
        <f>VLOOKUP(B38,'CPU serviços'!B:G,4,0)</f>
        <v>m³</v>
      </c>
      <c r="F38" s="247">
        <f>'MEMORIA DE CALCULO'!G34</f>
        <v>0.89999999999999991</v>
      </c>
      <c r="G38" s="221">
        <f>VLOOKUP(B38,'CPU serviços'!B:G,5,0)</f>
        <v>15.53</v>
      </c>
      <c r="H38" s="222">
        <f t="shared" si="2"/>
        <v>19.601216275862068</v>
      </c>
      <c r="I38" s="223">
        <f t="shared" si="4"/>
        <v>17.64</v>
      </c>
      <c r="J38" s="299"/>
      <c r="K38" s="150"/>
    </row>
    <row r="39" spans="1:11" ht="30" hidden="1" x14ac:dyDescent="0.25">
      <c r="A39" s="193" t="s">
        <v>599</v>
      </c>
      <c r="B39" s="191">
        <v>2003799</v>
      </c>
      <c r="C39" s="198" t="s">
        <v>14</v>
      </c>
      <c r="D39" s="197" t="str">
        <f>VLOOKUP(B39,'CPU serviços'!B:G,3,0)</f>
        <v>Canaleta meia cana D = 0,30 m assente sobre lastro de areia - areia e brita comerciais - fornecimento e instalação</v>
      </c>
      <c r="E39" s="198" t="str">
        <f>VLOOKUP(B39,'CPU serviços'!B:G,4,0)</f>
        <v>m</v>
      </c>
      <c r="F39" s="247">
        <f>'MEMORIA DE CALCULO'!G35</f>
        <v>10</v>
      </c>
      <c r="G39" s="221">
        <f>VLOOKUP(B39,'CPU serviços'!B:G,5,0)</f>
        <v>60.44</v>
      </c>
      <c r="H39" s="222">
        <f t="shared" si="2"/>
        <v>76.284450206896551</v>
      </c>
      <c r="I39" s="223">
        <f t="shared" si="4"/>
        <v>762.84</v>
      </c>
      <c r="J39" s="299"/>
      <c r="K39" s="150"/>
    </row>
    <row r="40" spans="1:11" ht="22.5" customHeight="1" x14ac:dyDescent="0.25">
      <c r="A40" s="272" t="s">
        <v>496</v>
      </c>
      <c r="B40" s="268"/>
      <c r="C40" s="294"/>
      <c r="D40" s="268" t="s">
        <v>297</v>
      </c>
      <c r="E40" s="268"/>
      <c r="F40" s="269"/>
      <c r="G40" s="438" t="s">
        <v>649</v>
      </c>
      <c r="H40" s="439"/>
      <c r="I40" s="357">
        <f>SUM(I42:I48)</f>
        <v>12169.92</v>
      </c>
      <c r="J40" s="299"/>
      <c r="K40" s="150"/>
    </row>
    <row r="41" spans="1:11" ht="22.5" hidden="1" customHeight="1" x14ac:dyDescent="0.25">
      <c r="A41" s="228"/>
      <c r="B41" s="229"/>
      <c r="C41" s="230"/>
      <c r="D41" s="229" t="s">
        <v>270</v>
      </c>
      <c r="E41" s="229"/>
      <c r="F41" s="251"/>
      <c r="G41" s="221"/>
      <c r="H41" s="222"/>
      <c r="I41" s="223"/>
      <c r="J41" s="299"/>
    </row>
    <row r="42" spans="1:11" ht="22.5" hidden="1" customHeight="1" x14ac:dyDescent="0.2">
      <c r="A42" s="231" t="s">
        <v>586</v>
      </c>
      <c r="B42" s="273">
        <v>1600989</v>
      </c>
      <c r="C42" s="209" t="s">
        <v>14</v>
      </c>
      <c r="D42" s="197" t="str">
        <f>VLOOKUP(B42,'CPU serviços'!B:G,3,0)</f>
        <v>Demolição de concreto simples com martelete</v>
      </c>
      <c r="E42" s="198" t="str">
        <f>VLOOKUP(B42,'CPU serviços'!B:G,4,0)</f>
        <v>m³</v>
      </c>
      <c r="F42" s="252">
        <f>'MEMORIA DE CALCULO'!G41</f>
        <v>2</v>
      </c>
      <c r="G42" s="221">
        <f>VLOOKUP(B42,'CPU serviços'!B:G,5,0)</f>
        <v>403.66</v>
      </c>
      <c r="H42" s="222">
        <f t="shared" ref="H42:H48" si="5">((G42*$I$7)+G42)</f>
        <v>509.48016496551725</v>
      </c>
      <c r="I42" s="223">
        <f t="shared" ref="I42:I48" si="6">ROUND(H42*F42,2)</f>
        <v>1018.96</v>
      </c>
      <c r="J42" s="299"/>
    </row>
    <row r="43" spans="1:11" ht="30" hidden="1" x14ac:dyDescent="0.2">
      <c r="A43" s="231" t="s">
        <v>587</v>
      </c>
      <c r="B43" s="191">
        <v>1506055</v>
      </c>
      <c r="C43" s="209" t="s">
        <v>14</v>
      </c>
      <c r="D43" s="197" t="str">
        <f>VLOOKUP(B43,'CPU serviços'!B:G,3,0)</f>
        <v>Pedra argamassada com cimento e areia 1:3 - areia e pedra de mão comercial - fornecimento e assentamento</v>
      </c>
      <c r="E43" s="198" t="str">
        <f>VLOOKUP(B43,'CPU serviços'!B:G,4,0)</f>
        <v>m³</v>
      </c>
      <c r="F43" s="252">
        <f>'MEMORIA DE CALCULO'!G39+'MEMORIA DE CALCULO'!G40+'MEMORIA DE CALCULO'!G42</f>
        <v>6.8</v>
      </c>
      <c r="G43" s="221">
        <f>VLOOKUP(B43,'CPU serviços'!B:G,5,0)</f>
        <v>438.98</v>
      </c>
      <c r="H43" s="222">
        <f t="shared" si="5"/>
        <v>554.05936386206895</v>
      </c>
      <c r="I43" s="223">
        <f t="shared" si="6"/>
        <v>3767.6</v>
      </c>
      <c r="J43" s="299"/>
    </row>
    <row r="44" spans="1:11" ht="25.5" hidden="1" customHeight="1" x14ac:dyDescent="0.2">
      <c r="A44" s="231" t="s">
        <v>588</v>
      </c>
      <c r="B44" s="191">
        <v>1106057</v>
      </c>
      <c r="C44" s="209" t="s">
        <v>14</v>
      </c>
      <c r="D44" s="197" t="str">
        <f>VLOOKUP(B44,'CPU serviços'!B:G,3,0)</f>
        <v>Concreto magro - confecção em betoneira e lançamento manual - areia e brita comerciais</v>
      </c>
      <c r="E44" s="198" t="str">
        <f>VLOOKUP(B44,'CPU serviços'!B:G,4,0)</f>
        <v>m³</v>
      </c>
      <c r="F44" s="252">
        <f>'MEMORIA DE CALCULO'!G43+'MEMORIA DE CALCULO'!G44</f>
        <v>3.6999999999999997</v>
      </c>
      <c r="G44" s="221">
        <f>VLOOKUP(B44,'CPU serviços'!B:G,5,0)</f>
        <v>477.58</v>
      </c>
      <c r="H44" s="222">
        <f t="shared" si="5"/>
        <v>602.77842041379301</v>
      </c>
      <c r="I44" s="223">
        <f t="shared" si="6"/>
        <v>2230.2800000000002</v>
      </c>
      <c r="J44" s="299"/>
    </row>
    <row r="45" spans="1:11" ht="45" hidden="1" x14ac:dyDescent="0.2">
      <c r="A45" s="231" t="s">
        <v>589</v>
      </c>
      <c r="B45" s="191">
        <v>97086</v>
      </c>
      <c r="C45" s="209" t="s">
        <v>10</v>
      </c>
      <c r="D45" s="197" t="str">
        <f>VLOOKUP(B45,'CPU serviços'!B:G,3,0)</f>
        <v>FABRICAÇÃO, MONTAGEM E DESMONTAGEM DE FORMA PARA RADIER, PISO DE CONCRETO OU LAJE SOBRE SOLO, EM MADEIRA SERRADA, 4 UTILIZAÇÕES. AF_09/2021</v>
      </c>
      <c r="E45" s="198" t="str">
        <f>VLOOKUP(B45,'CPU serviços'!B:G,4,0)</f>
        <v>m²</v>
      </c>
      <c r="F45" s="252">
        <f>'MEMORIA DE CALCULO'!G45</f>
        <v>3.6</v>
      </c>
      <c r="G45" s="221">
        <f>VLOOKUP(B45,'CPU serviços'!B:G,5,0)</f>
        <v>135.6</v>
      </c>
      <c r="H45" s="222">
        <f t="shared" si="5"/>
        <v>171.14777379310343</v>
      </c>
      <c r="I45" s="223">
        <f t="shared" si="6"/>
        <v>616.13</v>
      </c>
      <c r="J45" s="299"/>
    </row>
    <row r="46" spans="1:11" ht="30" hidden="1" x14ac:dyDescent="0.2">
      <c r="A46" s="231" t="s">
        <v>590</v>
      </c>
      <c r="B46" s="355">
        <v>2003799</v>
      </c>
      <c r="C46" s="209" t="s">
        <v>14</v>
      </c>
      <c r="D46" s="197" t="str">
        <f>VLOOKUP(B46,'CPU serviços'!B:G,3,0)</f>
        <v>Canaleta meia cana D = 0,30 m assente sobre lastro de areia - areia e brita comerciais - fornecimento e instalação</v>
      </c>
      <c r="E46" s="198" t="str">
        <f>VLOOKUP(B46,'CPU serviços'!B:G,4,0)</f>
        <v>m</v>
      </c>
      <c r="F46" s="247">
        <f>'MEMORIA DE CALCULO'!G47</f>
        <v>50</v>
      </c>
      <c r="G46" s="221">
        <f>VLOOKUP(B46,'CPU serviços'!B:G,5,0)</f>
        <v>60.44</v>
      </c>
      <c r="H46" s="222">
        <f t="shared" si="5"/>
        <v>76.284450206896551</v>
      </c>
      <c r="I46" s="223">
        <f t="shared" si="6"/>
        <v>3814.22</v>
      </c>
      <c r="J46" s="299"/>
    </row>
    <row r="47" spans="1:11" ht="30" hidden="1" x14ac:dyDescent="0.2">
      <c r="A47" s="231" t="s">
        <v>591</v>
      </c>
      <c r="B47" s="191">
        <v>2004504</v>
      </c>
      <c r="C47" s="209" t="s">
        <v>14</v>
      </c>
      <c r="D47" s="197" t="str">
        <f>VLOOKUP(B47,'CPU serviços'!B:G,3,0)</f>
        <v xml:space="preserve">Escavação mecânica de vala para drenagem com valetadeira em material de 1ª categoria </v>
      </c>
      <c r="E47" s="198" t="str">
        <f>VLOOKUP(B47,'CPU serviços'!B:G,4,0)</f>
        <v>m³</v>
      </c>
      <c r="F47" s="247">
        <f>F46*0.3*0.3</f>
        <v>4.5</v>
      </c>
      <c r="G47" s="221">
        <f>VLOOKUP(B47,'CPU serviços'!B:G,5,0)</f>
        <v>15.53</v>
      </c>
      <c r="H47" s="222">
        <f t="shared" si="5"/>
        <v>19.601216275862068</v>
      </c>
      <c r="I47" s="223">
        <f t="shared" si="6"/>
        <v>88.21</v>
      </c>
      <c r="J47" s="299"/>
    </row>
    <row r="48" spans="1:11" ht="22.5" hidden="1" customHeight="1" x14ac:dyDescent="0.2">
      <c r="A48" s="231" t="s">
        <v>645</v>
      </c>
      <c r="B48" s="196">
        <v>4915712</v>
      </c>
      <c r="C48" s="209" t="s">
        <v>14</v>
      </c>
      <c r="D48" s="197" t="str">
        <f>VLOOKUP(B48,'CPU serviços'!B:G,3,0)</f>
        <v xml:space="preserve">Limpeza de bueiro </v>
      </c>
      <c r="E48" s="198" t="str">
        <f>VLOOKUP(B48,'CPU serviços'!B:G,4,0)</f>
        <v>m³</v>
      </c>
      <c r="F48" s="247">
        <f>'MEMORIA DE CALCULO'!G46</f>
        <v>24.310000000000002</v>
      </c>
      <c r="G48" s="221">
        <f>VLOOKUP(B48,'CPU serviços'!B:G,5,0)</f>
        <v>20.68</v>
      </c>
      <c r="H48" s="222">
        <f t="shared" si="5"/>
        <v>26.101297655172413</v>
      </c>
      <c r="I48" s="223">
        <f t="shared" si="6"/>
        <v>634.52</v>
      </c>
      <c r="J48" s="299"/>
    </row>
    <row r="49" spans="1:10" ht="22.5" customHeight="1" x14ac:dyDescent="0.25">
      <c r="A49" s="272" t="s">
        <v>497</v>
      </c>
      <c r="B49" s="268"/>
      <c r="C49" s="294"/>
      <c r="D49" s="268" t="s">
        <v>308</v>
      </c>
      <c r="E49" s="268"/>
      <c r="F49" s="269"/>
      <c r="G49" s="438" t="s">
        <v>649</v>
      </c>
      <c r="H49" s="439"/>
      <c r="I49" s="357">
        <f>SUM(I51:I61)</f>
        <v>14182.610000000002</v>
      </c>
      <c r="J49" s="299"/>
    </row>
    <row r="50" spans="1:10" ht="22.5" hidden="1" customHeight="1" x14ac:dyDescent="0.25">
      <c r="A50" s="211"/>
      <c r="B50" s="220"/>
      <c r="C50" s="191"/>
      <c r="D50" s="220" t="s">
        <v>270</v>
      </c>
      <c r="E50" s="220"/>
      <c r="F50" s="247"/>
      <c r="G50" s="220"/>
      <c r="H50" s="220"/>
      <c r="I50" s="232"/>
      <c r="J50" s="299"/>
    </row>
    <row r="51" spans="1:10" ht="22.5" hidden="1" customHeight="1" x14ac:dyDescent="0.2">
      <c r="A51" s="211" t="s">
        <v>577</v>
      </c>
      <c r="B51" s="191">
        <v>1619004</v>
      </c>
      <c r="C51" s="209" t="s">
        <v>14</v>
      </c>
      <c r="D51" s="197" t="str">
        <f>VLOOKUP(B51,'CPU serviços'!B:G,3,0)</f>
        <v xml:space="preserve">Demolição mecânica de alvenaria com carregadeira de pneus </v>
      </c>
      <c r="E51" s="198" t="str">
        <f>VLOOKUP(B51,'CPU serviços'!B:G,4,0)</f>
        <v>m³</v>
      </c>
      <c r="F51" s="247">
        <f>'MEMORIA DE CALCULO'!G54</f>
        <v>6</v>
      </c>
      <c r="G51" s="221">
        <f>VLOOKUP(B51,'CPU serviços'!B:G,5,0)</f>
        <v>7.56</v>
      </c>
      <c r="H51" s="222">
        <f t="shared" ref="H51:H59" si="7">((G51*$I$7)+G51)</f>
        <v>9.5418670344827579</v>
      </c>
      <c r="I51" s="223">
        <f t="shared" ref="I51:I59" si="8">ROUND(H51*F51,2)</f>
        <v>57.25</v>
      </c>
      <c r="J51" s="299"/>
    </row>
    <row r="52" spans="1:10" ht="22.5" hidden="1" customHeight="1" x14ac:dyDescent="0.2">
      <c r="A52" s="211" t="s">
        <v>578</v>
      </c>
      <c r="B52" s="191">
        <v>5914359</v>
      </c>
      <c r="C52" s="209" t="s">
        <v>14</v>
      </c>
      <c r="D52" s="197" t="str">
        <f>VLOOKUP(B52,'CPU serviços'!B:G,3,0)</f>
        <v>Transporte com caminhão basculante de 10 m³ - rodovia em leito natural</v>
      </c>
      <c r="E52" s="198" t="str">
        <f>VLOOKUP(B52,'CPU serviços'!B:G,4,0)</f>
        <v>tkm</v>
      </c>
      <c r="F52" s="247">
        <f>F51*2.2*1</f>
        <v>13.200000000000001</v>
      </c>
      <c r="G52" s="221">
        <f>VLOOKUP(B52,'CPU serviços'!B:G,5,0)</f>
        <v>1.2</v>
      </c>
      <c r="H52" s="222">
        <f t="shared" si="7"/>
        <v>1.5145820689655172</v>
      </c>
      <c r="I52" s="223">
        <f t="shared" si="8"/>
        <v>19.989999999999998</v>
      </c>
      <c r="J52" s="299"/>
    </row>
    <row r="53" spans="1:10" ht="22.5" hidden="1" customHeight="1" x14ac:dyDescent="0.2">
      <c r="A53" s="211" t="s">
        <v>579</v>
      </c>
      <c r="B53" s="191">
        <v>4915774</v>
      </c>
      <c r="C53" s="209" t="s">
        <v>14</v>
      </c>
      <c r="D53" s="197" t="str">
        <f>VLOOKUP(B53,'CPU serviços'!B:G,3,0)</f>
        <v>Recomposição de erosão em corte ou aterro com material de jazida</v>
      </c>
      <c r="E53" s="198" t="str">
        <f>VLOOKUP(B53,'CPU serviços'!B:G,4,0)</f>
        <v>m³</v>
      </c>
      <c r="F53" s="247">
        <f>'MEMORIA DE CALCULO'!G53</f>
        <v>200</v>
      </c>
      <c r="G53" s="221">
        <f>VLOOKUP(B53,'CPU serviços'!B:G,5,0)</f>
        <v>23.08</v>
      </c>
      <c r="H53" s="222">
        <f t="shared" si="7"/>
        <v>29.130461793103443</v>
      </c>
      <c r="I53" s="223">
        <f t="shared" si="8"/>
        <v>5826.09</v>
      </c>
      <c r="J53" s="299"/>
    </row>
    <row r="54" spans="1:10" ht="22.5" hidden="1" customHeight="1" x14ac:dyDescent="0.2">
      <c r="A54" s="211" t="s">
        <v>580</v>
      </c>
      <c r="B54" s="191">
        <v>5914359</v>
      </c>
      <c r="C54" s="209" t="s">
        <v>14</v>
      </c>
      <c r="D54" s="197" t="str">
        <f>VLOOKUP(B54,'CPU serviços'!B:G,3,0)</f>
        <v>Transporte com caminhão basculante de 10 m³ - rodovia em leito natural</v>
      </c>
      <c r="E54" s="198" t="str">
        <f>VLOOKUP(B54,'CPU serviços'!B:G,4,0)</f>
        <v>tkm</v>
      </c>
      <c r="F54" s="247">
        <f>F53*1.6*2</f>
        <v>640</v>
      </c>
      <c r="G54" s="221">
        <f>VLOOKUP(B54,'CPU serviços'!B:G,5,0)</f>
        <v>1.2</v>
      </c>
      <c r="H54" s="222">
        <f t="shared" si="7"/>
        <v>1.5145820689655172</v>
      </c>
      <c r="I54" s="223">
        <f t="shared" si="8"/>
        <v>969.33</v>
      </c>
      <c r="J54" s="299"/>
    </row>
    <row r="55" spans="1:10" ht="30" hidden="1" x14ac:dyDescent="0.2">
      <c r="A55" s="211" t="s">
        <v>581</v>
      </c>
      <c r="B55" s="191">
        <v>1506055</v>
      </c>
      <c r="C55" s="209" t="s">
        <v>14</v>
      </c>
      <c r="D55" s="197" t="str">
        <f>VLOOKUP(B55,'CPU serviços'!B:G,3,0)</f>
        <v>Pedra argamassada com cimento e areia 1:3 - areia e pedra de mão comercial - fornecimento e assentamento</v>
      </c>
      <c r="E55" s="198" t="str">
        <f>VLOOKUP(B55,'CPU serviços'!B:G,4,0)</f>
        <v>m³</v>
      </c>
      <c r="F55" s="247">
        <f>'MEMORIA DE CALCULO'!G54</f>
        <v>6</v>
      </c>
      <c r="G55" s="221">
        <f>VLOOKUP(B55,'CPU serviços'!B:G,5,0)</f>
        <v>438.98</v>
      </c>
      <c r="H55" s="222">
        <f t="shared" si="7"/>
        <v>554.05936386206895</v>
      </c>
      <c r="I55" s="223">
        <f t="shared" si="8"/>
        <v>3324.36</v>
      </c>
      <c r="J55" s="299"/>
    </row>
    <row r="56" spans="1:10" ht="45" hidden="1" x14ac:dyDescent="0.2">
      <c r="A56" s="211" t="s">
        <v>582</v>
      </c>
      <c r="B56" s="191">
        <v>97086</v>
      </c>
      <c r="C56" s="209" t="s">
        <v>10</v>
      </c>
      <c r="D56" s="197" t="str">
        <f>VLOOKUP(B56,'CPU serviços'!B:G,3,0)</f>
        <v>FABRICAÇÃO, MONTAGEM E DESMONTAGEM DE FORMA PARA RADIER, PISO DE CONCRETO OU LAJE SOBRE SOLO, EM MADEIRA SERRADA, 4 UTILIZAÇÕES. AF_09/2021</v>
      </c>
      <c r="E56" s="198" t="str">
        <f>VLOOKUP(B56,'CPU serviços'!B:G,4,0)</f>
        <v>m²</v>
      </c>
      <c r="F56" s="247">
        <f>'MEMORIA DE CALCULO'!G57</f>
        <v>5.3999999999999995</v>
      </c>
      <c r="G56" s="221">
        <f>VLOOKUP(B56,'CPU serviços'!B:G,5,0)</f>
        <v>135.6</v>
      </c>
      <c r="H56" s="222">
        <f t="shared" si="7"/>
        <v>171.14777379310343</v>
      </c>
      <c r="I56" s="223">
        <f t="shared" si="8"/>
        <v>924.2</v>
      </c>
      <c r="J56" s="299"/>
    </row>
    <row r="57" spans="1:10" ht="30" hidden="1" x14ac:dyDescent="0.2">
      <c r="A57" s="211" t="s">
        <v>583</v>
      </c>
      <c r="B57" s="191">
        <v>1505878</v>
      </c>
      <c r="C57" s="209" t="s">
        <v>14</v>
      </c>
      <c r="D57" s="197" t="str">
        <f>VLOOKUP(B57,'CPU serviços'!B:G,3,0)</f>
        <v>Enrocamento de pedra arrumada manualmente - pedra de mão produzida - confecção e assentamento</v>
      </c>
      <c r="E57" s="198" t="str">
        <f>VLOOKUP(B57,'CPU serviços'!B:G,4,0)</f>
        <v>m³</v>
      </c>
      <c r="F57" s="247">
        <f>'MEMORIA DE CALCULO'!G55</f>
        <v>10.5</v>
      </c>
      <c r="G57" s="221">
        <f>VLOOKUP(B57,'CPU serviços'!B:G,5,0)</f>
        <v>170.62</v>
      </c>
      <c r="H57" s="222">
        <f t="shared" si="7"/>
        <v>215.3483271724138</v>
      </c>
      <c r="I57" s="223">
        <f t="shared" si="8"/>
        <v>2261.16</v>
      </c>
      <c r="J57" s="299"/>
    </row>
    <row r="58" spans="1:10" ht="22.5" hidden="1" customHeight="1" x14ac:dyDescent="0.2">
      <c r="A58" s="211" t="s">
        <v>584</v>
      </c>
      <c r="B58" s="191">
        <v>5914359</v>
      </c>
      <c r="C58" s="209" t="s">
        <v>14</v>
      </c>
      <c r="D58" s="197" t="str">
        <f>VLOOKUP(B58,'CPU serviços'!B:G,3,0)</f>
        <v>Transporte com caminhão basculante de 10 m³ - rodovia em leito natural</v>
      </c>
      <c r="E58" s="198" t="str">
        <f>VLOOKUP(B58,'CPU serviços'!B:G,4,0)</f>
        <v>tkm</v>
      </c>
      <c r="F58" s="247">
        <f>F57*1.8*10</f>
        <v>189.00000000000003</v>
      </c>
      <c r="G58" s="221">
        <f>VLOOKUP(B58,'CPU serviços'!B:G,5,0)</f>
        <v>1.2</v>
      </c>
      <c r="H58" s="222">
        <f t="shared" si="7"/>
        <v>1.5145820689655172</v>
      </c>
      <c r="I58" s="223">
        <f t="shared" si="8"/>
        <v>286.26</v>
      </c>
      <c r="J58" s="299"/>
    </row>
    <row r="59" spans="1:10" ht="22.5" hidden="1" customHeight="1" x14ac:dyDescent="0.2">
      <c r="A59" s="211" t="s">
        <v>585</v>
      </c>
      <c r="B59" s="196">
        <v>4800412</v>
      </c>
      <c r="C59" s="209" t="s">
        <v>14</v>
      </c>
      <c r="D59" s="197" t="str">
        <f>VLOOKUP(B59,'CPU serviços'!B:G,3,0)</f>
        <v xml:space="preserve">Raspagem e limpeza de terreno plano </v>
      </c>
      <c r="E59" s="198" t="str">
        <f>VLOOKUP(B59,'CPU serviços'!B:G,4,0)</f>
        <v>m²</v>
      </c>
      <c r="F59" s="247">
        <f>'MEMORIA DE CALCULO'!G56</f>
        <v>37.5</v>
      </c>
      <c r="G59" s="221">
        <f>VLOOKUP(B59,'CPU serviços'!B:G,5,0)</f>
        <v>4.2</v>
      </c>
      <c r="H59" s="222">
        <f t="shared" si="7"/>
        <v>5.3010372413793103</v>
      </c>
      <c r="I59" s="223">
        <f t="shared" si="8"/>
        <v>198.79</v>
      </c>
      <c r="J59" s="299"/>
    </row>
    <row r="60" spans="1:10" ht="22.5" hidden="1" customHeight="1" x14ac:dyDescent="0.25">
      <c r="A60" s="211"/>
      <c r="B60" s="220"/>
      <c r="C60" s="196"/>
      <c r="D60" s="220" t="s">
        <v>275</v>
      </c>
      <c r="E60" s="220"/>
      <c r="F60" s="247"/>
      <c r="G60" s="220"/>
      <c r="H60" s="220"/>
      <c r="I60" s="232"/>
      <c r="J60" s="299"/>
    </row>
    <row r="61" spans="1:10" ht="30" hidden="1" x14ac:dyDescent="0.25">
      <c r="A61" s="211" t="s">
        <v>643</v>
      </c>
      <c r="B61" s="191">
        <v>98529</v>
      </c>
      <c r="C61" s="196" t="s">
        <v>10</v>
      </c>
      <c r="D61" s="197" t="str">
        <f>VLOOKUP(B61,'CPU serviços'!B:G,3,0)</f>
        <v>CORTE RASO E RECORTE DE ÁRVORE COM DIÂMETRO DE TRONCO MAIOR OU IGUAL A 0,20 M E MENOR QUE 0,40 M.AF_05/2018</v>
      </c>
      <c r="E61" s="198" t="str">
        <f>VLOOKUP(B61,'CPU serviços'!B:G,4,0)</f>
        <v>UN</v>
      </c>
      <c r="F61" s="247">
        <f>'MEMORIA DE CALCULO'!G59</f>
        <v>4</v>
      </c>
      <c r="G61" s="221">
        <f>VLOOKUP(B61,'CPU serviços'!B:G,5,0)</f>
        <v>62.43</v>
      </c>
      <c r="H61" s="222">
        <f t="shared" ref="H61" si="9">((G61*$I$7)+G61)</f>
        <v>78.796132137931039</v>
      </c>
      <c r="I61" s="223">
        <f t="shared" ref="I61" si="10">ROUND(H61*F61,2)</f>
        <v>315.18</v>
      </c>
      <c r="J61" s="299"/>
    </row>
    <row r="62" spans="1:10" ht="22.5" customHeight="1" x14ac:dyDescent="0.25">
      <c r="A62" s="272" t="s">
        <v>498</v>
      </c>
      <c r="B62" s="268"/>
      <c r="C62" s="294"/>
      <c r="D62" s="268" t="s">
        <v>315</v>
      </c>
      <c r="E62" s="268"/>
      <c r="F62" s="269"/>
      <c r="G62" s="438" t="s">
        <v>649</v>
      </c>
      <c r="H62" s="439"/>
      <c r="I62" s="357">
        <f>SUM(I64:I75)</f>
        <v>31799.019999999997</v>
      </c>
      <c r="J62" s="299"/>
    </row>
    <row r="63" spans="1:10" ht="22.5" hidden="1" customHeight="1" x14ac:dyDescent="0.25">
      <c r="A63" s="211"/>
      <c r="B63" s="220"/>
      <c r="C63" s="191"/>
      <c r="D63" s="220" t="s">
        <v>270</v>
      </c>
      <c r="E63" s="220"/>
      <c r="F63" s="247"/>
      <c r="G63" s="220"/>
      <c r="H63" s="220"/>
      <c r="I63" s="232"/>
      <c r="J63" s="299"/>
    </row>
    <row r="64" spans="1:10" ht="22.5" hidden="1" customHeight="1" x14ac:dyDescent="0.2">
      <c r="A64" s="211" t="s">
        <v>567</v>
      </c>
      <c r="B64" s="196">
        <v>1619004</v>
      </c>
      <c r="C64" s="209" t="s">
        <v>14</v>
      </c>
      <c r="D64" s="197" t="str">
        <f>VLOOKUP(B64,'CPU serviços'!B:G,3,0)</f>
        <v xml:space="preserve">Demolição mecânica de alvenaria com carregadeira de pneus </v>
      </c>
      <c r="E64" s="198" t="str">
        <f>VLOOKUP(B64,'CPU serviços'!B:G,4,0)</f>
        <v>m³</v>
      </c>
      <c r="F64" s="247">
        <f>'MEMORIA DE CALCULO'!G63</f>
        <v>33.120000000000005</v>
      </c>
      <c r="G64" s="221">
        <f>VLOOKUP(B64,'CPU serviços'!B:G,5,0)</f>
        <v>7.56</v>
      </c>
      <c r="H64" s="222">
        <f t="shared" ref="H64:H73" si="11">((G64*$I$7)+G64)</f>
        <v>9.5418670344827579</v>
      </c>
      <c r="I64" s="223">
        <f t="shared" ref="I64:I73" si="12">ROUND(H64*F64,2)</f>
        <v>316.02999999999997</v>
      </c>
      <c r="J64" s="299"/>
    </row>
    <row r="65" spans="1:10" ht="22.5" hidden="1" customHeight="1" x14ac:dyDescent="0.2">
      <c r="A65" s="211" t="s">
        <v>571</v>
      </c>
      <c r="B65" s="191">
        <v>5914359</v>
      </c>
      <c r="C65" s="209" t="s">
        <v>14</v>
      </c>
      <c r="D65" s="197" t="str">
        <f>VLOOKUP(B65,'CPU serviços'!B:G,3,0)</f>
        <v>Transporte com caminhão basculante de 10 m³ - rodovia em leito natural</v>
      </c>
      <c r="E65" s="198" t="str">
        <f>VLOOKUP(B65,'CPU serviços'!B:G,4,0)</f>
        <v>tkm</v>
      </c>
      <c r="F65" s="247">
        <f>F64*2.2*1</f>
        <v>72.864000000000019</v>
      </c>
      <c r="G65" s="221">
        <f>VLOOKUP(B65,'CPU serviços'!B:G,5,0)</f>
        <v>1.2</v>
      </c>
      <c r="H65" s="222">
        <f t="shared" si="11"/>
        <v>1.5145820689655172</v>
      </c>
      <c r="I65" s="223">
        <f t="shared" si="12"/>
        <v>110.36</v>
      </c>
      <c r="J65" s="299"/>
    </row>
    <row r="66" spans="1:10" ht="24.75" hidden="1" customHeight="1" x14ac:dyDescent="0.2">
      <c r="A66" s="211" t="s">
        <v>572</v>
      </c>
      <c r="B66" s="191">
        <v>4016008</v>
      </c>
      <c r="C66" s="209" t="s">
        <v>14</v>
      </c>
      <c r="D66" s="197" t="str">
        <f>VLOOKUP(B66,'CPU serviços'!B:G,3,0)</f>
        <v>Escavação e carga de material de jazida com trator de 127 kW e carregadeira de 3,4 m³</v>
      </c>
      <c r="E66" s="198" t="str">
        <f>VLOOKUP(B66,'CPU serviços'!B:G,4,0)</f>
        <v>m³</v>
      </c>
      <c r="F66" s="247">
        <f>'MEMORIA DE CALCULO'!G64</f>
        <v>162</v>
      </c>
      <c r="G66" s="221">
        <f>VLOOKUP(B66,'CPU serviços'!B:G,5,0)</f>
        <v>3.72</v>
      </c>
      <c r="H66" s="222">
        <f t="shared" si="11"/>
        <v>4.6952044137931033</v>
      </c>
      <c r="I66" s="223">
        <f t="shared" si="12"/>
        <v>760.62</v>
      </c>
      <c r="J66" s="299"/>
    </row>
    <row r="67" spans="1:10" ht="22.5" hidden="1" customHeight="1" x14ac:dyDescent="0.2">
      <c r="A67" s="211" t="s">
        <v>569</v>
      </c>
      <c r="B67" s="191">
        <v>4915774</v>
      </c>
      <c r="C67" s="209" t="s">
        <v>14</v>
      </c>
      <c r="D67" s="197" t="str">
        <f>VLOOKUP(B67,'CPU serviços'!B:G,3,0)</f>
        <v>Recomposição de erosão em corte ou aterro com material de jazida</v>
      </c>
      <c r="E67" s="198" t="str">
        <f>VLOOKUP(B67,'CPU serviços'!B:G,4,0)</f>
        <v>m³</v>
      </c>
      <c r="F67" s="247">
        <f>F66</f>
        <v>162</v>
      </c>
      <c r="G67" s="221">
        <f>VLOOKUP(B67,'CPU serviços'!B:G,5,0)</f>
        <v>23.08</v>
      </c>
      <c r="H67" s="222">
        <f t="shared" si="11"/>
        <v>29.130461793103443</v>
      </c>
      <c r="I67" s="223">
        <f t="shared" si="12"/>
        <v>4719.13</v>
      </c>
      <c r="J67" s="299"/>
    </row>
    <row r="68" spans="1:10" ht="26.25" hidden="1" customHeight="1" x14ac:dyDescent="0.2">
      <c r="A68" s="211" t="s">
        <v>568</v>
      </c>
      <c r="B68" s="191">
        <v>5914359</v>
      </c>
      <c r="C68" s="209" t="s">
        <v>14</v>
      </c>
      <c r="D68" s="197" t="str">
        <f>VLOOKUP(B68,'CPU serviços'!B:G,3,0)</f>
        <v>Transporte com caminhão basculante de 10 m³ - rodovia em leito natural</v>
      </c>
      <c r="E68" s="198" t="str">
        <f>VLOOKUP(B68,'CPU serviços'!B:G,4,0)</f>
        <v>tkm</v>
      </c>
      <c r="F68" s="247">
        <f>F66*1.6*1</f>
        <v>259.2</v>
      </c>
      <c r="G68" s="221">
        <f>VLOOKUP(B68,'CPU serviços'!B:G,5,0)</f>
        <v>1.2</v>
      </c>
      <c r="H68" s="222">
        <f t="shared" si="11"/>
        <v>1.5145820689655172</v>
      </c>
      <c r="I68" s="223">
        <f t="shared" si="12"/>
        <v>392.58</v>
      </c>
      <c r="J68" s="299"/>
    </row>
    <row r="69" spans="1:10" ht="30" hidden="1" x14ac:dyDescent="0.2">
      <c r="A69" s="211" t="s">
        <v>573</v>
      </c>
      <c r="B69" s="196">
        <v>1506055</v>
      </c>
      <c r="C69" s="209" t="s">
        <v>14</v>
      </c>
      <c r="D69" s="197" t="str">
        <f>VLOOKUP(B69,'CPU serviços'!B:G,3,0)</f>
        <v>Pedra argamassada com cimento e areia 1:3 - areia e pedra de mão comercial - fornecimento e assentamento</v>
      </c>
      <c r="E69" s="198" t="str">
        <f>VLOOKUP(B69,'CPU serviços'!B:G,4,0)</f>
        <v>m³</v>
      </c>
      <c r="F69" s="247">
        <f>'MEMORIA DE CALCULO'!G65</f>
        <v>33.120000000000005</v>
      </c>
      <c r="G69" s="221">
        <f>VLOOKUP(B69,'CPU serviços'!B:G,5,0)</f>
        <v>438.98</v>
      </c>
      <c r="H69" s="222">
        <f t="shared" si="11"/>
        <v>554.05936386206895</v>
      </c>
      <c r="I69" s="223">
        <f t="shared" si="12"/>
        <v>18350.45</v>
      </c>
      <c r="J69" s="299"/>
    </row>
    <row r="70" spans="1:10" ht="45" hidden="1" x14ac:dyDescent="0.2">
      <c r="A70" s="211" t="s">
        <v>574</v>
      </c>
      <c r="B70" s="191">
        <v>97086</v>
      </c>
      <c r="C70" s="209" t="s">
        <v>10</v>
      </c>
      <c r="D70" s="197" t="str">
        <f>VLOOKUP(B70,'CPU serviços'!B:G,3,0)</f>
        <v>FABRICAÇÃO, MONTAGEM E DESMONTAGEM DE FORMA PARA RADIER, PISO DE CONCRETO OU LAJE SOBRE SOLO, EM MADEIRA SERRADA, 4 UTILIZAÇÕES. AF_09/2021</v>
      </c>
      <c r="E70" s="198" t="str">
        <f>VLOOKUP(B70,'CPU serviços'!B:G,4,0)</f>
        <v>m²</v>
      </c>
      <c r="F70" s="247">
        <f>'MEMORIA DE CALCULO'!G70</f>
        <v>8.48</v>
      </c>
      <c r="G70" s="221">
        <f>VLOOKUP(B70,'CPU serviços'!B:G,5,0)</f>
        <v>135.6</v>
      </c>
      <c r="H70" s="222">
        <f t="shared" si="11"/>
        <v>171.14777379310343</v>
      </c>
      <c r="I70" s="223">
        <f t="shared" si="12"/>
        <v>1451.33</v>
      </c>
      <c r="J70" s="299"/>
    </row>
    <row r="71" spans="1:10" ht="28.5" hidden="1" customHeight="1" x14ac:dyDescent="0.2">
      <c r="A71" s="211" t="s">
        <v>575</v>
      </c>
      <c r="B71" s="191">
        <v>1106057</v>
      </c>
      <c r="C71" s="209" t="s">
        <v>14</v>
      </c>
      <c r="D71" s="197" t="str">
        <f>VLOOKUP(B71,'CPU serviços'!B:G,3,0)</f>
        <v>Concreto magro - confecção em betoneira e lançamento manual - areia e brita comerciais</v>
      </c>
      <c r="E71" s="198" t="str">
        <f>VLOOKUP(B71,'CPU serviços'!B:G,4,0)</f>
        <v>m³</v>
      </c>
      <c r="F71" s="247">
        <f>'MEMORIA DE CALCULO'!G67</f>
        <v>6.75</v>
      </c>
      <c r="G71" s="221">
        <f>VLOOKUP(B71,'CPU serviços'!B:G,5,0)</f>
        <v>477.58</v>
      </c>
      <c r="H71" s="222">
        <f t="shared" si="11"/>
        <v>602.77842041379301</v>
      </c>
      <c r="I71" s="223">
        <f t="shared" si="12"/>
        <v>4068.75</v>
      </c>
      <c r="J71" s="299"/>
    </row>
    <row r="72" spans="1:10" ht="22.5" hidden="1" customHeight="1" x14ac:dyDescent="0.2">
      <c r="A72" s="211" t="s">
        <v>570</v>
      </c>
      <c r="B72" s="196">
        <v>4800412</v>
      </c>
      <c r="C72" s="209" t="s">
        <v>14</v>
      </c>
      <c r="D72" s="197" t="str">
        <f>VLOOKUP(B72,'CPU serviços'!B:G,3,0)</f>
        <v xml:space="preserve">Raspagem e limpeza de terreno plano </v>
      </c>
      <c r="E72" s="198" t="str">
        <f>VLOOKUP(B72,'CPU serviços'!B:G,4,0)</f>
        <v>m²</v>
      </c>
      <c r="F72" s="247">
        <f>'MEMORIA DE CALCULO'!G68</f>
        <v>54.750000000000007</v>
      </c>
      <c r="G72" s="221">
        <f>VLOOKUP(B72,'CPU serviços'!B:G,5,0)</f>
        <v>4.2</v>
      </c>
      <c r="H72" s="222">
        <f t="shared" si="11"/>
        <v>5.3010372413793103</v>
      </c>
      <c r="I72" s="223">
        <f t="shared" si="12"/>
        <v>290.23</v>
      </c>
      <c r="J72" s="299"/>
    </row>
    <row r="73" spans="1:10" ht="30" hidden="1" x14ac:dyDescent="0.25">
      <c r="A73" s="211" t="s">
        <v>576</v>
      </c>
      <c r="B73" s="191">
        <v>98529</v>
      </c>
      <c r="C73" s="196" t="s">
        <v>10</v>
      </c>
      <c r="D73" s="197" t="str">
        <f>VLOOKUP(B73,'CPU serviços'!B:G,3,0)</f>
        <v>CORTE RASO E RECORTE DE ÁRVORE COM DIÂMETRO DE TRONCO MAIOR OU IGUAL A 0,20 M E MENOR QUE 0,40 M.AF_05/2018</v>
      </c>
      <c r="E73" s="198" t="str">
        <f>VLOOKUP(B73,'CPU serviços'!B:G,4,0)</f>
        <v>UN</v>
      </c>
      <c r="F73" s="247">
        <f>'MEMORIA DE CALCULO'!G69</f>
        <v>8</v>
      </c>
      <c r="G73" s="221">
        <f>VLOOKUP(B73,'CPU serviços'!B:G,5,0)</f>
        <v>62.43</v>
      </c>
      <c r="H73" s="222">
        <f t="shared" si="11"/>
        <v>78.796132137931039</v>
      </c>
      <c r="I73" s="223">
        <f t="shared" si="12"/>
        <v>630.37</v>
      </c>
      <c r="J73" s="299"/>
    </row>
    <row r="74" spans="1:10" ht="22.5" hidden="1" customHeight="1" x14ac:dyDescent="0.25">
      <c r="A74" s="211"/>
      <c r="B74" s="191"/>
      <c r="C74" s="191"/>
      <c r="D74" s="220" t="s">
        <v>275</v>
      </c>
      <c r="E74" s="198"/>
      <c r="F74" s="247"/>
      <c r="G74" s="220"/>
      <c r="H74" s="220"/>
      <c r="I74" s="232"/>
      <c r="J74" s="299"/>
    </row>
    <row r="75" spans="1:10" ht="31.5" hidden="1" customHeight="1" x14ac:dyDescent="0.25">
      <c r="A75" s="211" t="s">
        <v>646</v>
      </c>
      <c r="B75" s="191">
        <v>98529</v>
      </c>
      <c r="C75" s="196" t="s">
        <v>10</v>
      </c>
      <c r="D75" s="197" t="str">
        <f>VLOOKUP(B75,'CPU serviços'!B:G,3,0)</f>
        <v>CORTE RASO E RECORTE DE ÁRVORE COM DIÂMETRO DE TRONCO MAIOR OU IGUAL A 0,20 M E MENOR QUE 0,40 M.AF_05/2018</v>
      </c>
      <c r="E75" s="198" t="str">
        <f>VLOOKUP(B75,'CPU serviços'!B:G,4,0)</f>
        <v>UN</v>
      </c>
      <c r="F75" s="247">
        <f>'MEMORIA DE CALCULO'!G72</f>
        <v>9</v>
      </c>
      <c r="G75" s="221">
        <f>VLOOKUP(B75,'CPU serviços'!B:G,5,0)</f>
        <v>62.43</v>
      </c>
      <c r="H75" s="222">
        <f t="shared" ref="H75" si="13">((G75*$I$7)+G75)</f>
        <v>78.796132137931039</v>
      </c>
      <c r="I75" s="223">
        <f t="shared" ref="I75" si="14">ROUND(H75*F75,2)</f>
        <v>709.17</v>
      </c>
      <c r="J75" s="299"/>
    </row>
    <row r="76" spans="1:10" ht="22.5" customHeight="1" x14ac:dyDescent="0.25">
      <c r="A76" s="272" t="s">
        <v>499</v>
      </c>
      <c r="B76" s="268"/>
      <c r="C76" s="294"/>
      <c r="D76" s="268" t="s">
        <v>334</v>
      </c>
      <c r="E76" s="268"/>
      <c r="F76" s="269"/>
      <c r="G76" s="438" t="s">
        <v>649</v>
      </c>
      <c r="H76" s="439"/>
      <c r="I76" s="357">
        <f>SUM(I78:I84)</f>
        <v>723.0100000000001</v>
      </c>
      <c r="J76" s="299"/>
    </row>
    <row r="77" spans="1:10" ht="22.5" hidden="1" customHeight="1" x14ac:dyDescent="0.25">
      <c r="A77" s="211"/>
      <c r="B77" s="220"/>
      <c r="C77" s="191"/>
      <c r="D77" s="220" t="s">
        <v>270</v>
      </c>
      <c r="E77" s="220"/>
      <c r="F77" s="247"/>
      <c r="G77" s="220"/>
      <c r="H77" s="220"/>
      <c r="I77" s="232"/>
      <c r="J77" s="299"/>
    </row>
    <row r="78" spans="1:10" ht="22.5" hidden="1" customHeight="1" x14ac:dyDescent="0.25">
      <c r="A78" s="211" t="s">
        <v>561</v>
      </c>
      <c r="B78" s="196">
        <v>4114</v>
      </c>
      <c r="C78" s="191" t="s">
        <v>460</v>
      </c>
      <c r="D78" s="197" t="str">
        <f>VLOOKUP(B78,'CPU serviços'!B:G,3,0)</f>
        <v xml:space="preserve">TRATAMENTO DE TRINCAS (2,5cm) </v>
      </c>
      <c r="E78" s="198" t="str">
        <f>VLOOKUP(B78,'CPU serviços'!B:G,4,0)</f>
        <v>m</v>
      </c>
      <c r="F78" s="247">
        <f>'MEMORIA DE CALCULO'!G79</f>
        <v>8.5</v>
      </c>
      <c r="G78" s="221">
        <f>VLOOKUP(B78,'CPU serviços'!B:G,5,0)</f>
        <v>14.66</v>
      </c>
      <c r="H78" s="222">
        <f t="shared" ref="H78:H84" si="15">((G78*$I$7)+G78)</f>
        <v>18.50314427586207</v>
      </c>
      <c r="I78" s="223">
        <f t="shared" ref="I78:I84" si="16">ROUND(H78*F78,2)</f>
        <v>157.28</v>
      </c>
      <c r="J78" s="299"/>
    </row>
    <row r="79" spans="1:10" ht="26.25" hidden="1" customHeight="1" x14ac:dyDescent="0.25">
      <c r="A79" s="211" t="s">
        <v>562</v>
      </c>
      <c r="B79" s="191">
        <v>1106057</v>
      </c>
      <c r="C79" s="191" t="s">
        <v>14</v>
      </c>
      <c r="D79" s="197" t="str">
        <f>VLOOKUP(B79,'CPU serviços'!B:G,3,0)</f>
        <v>Concreto magro - confecção em betoneira e lançamento manual - areia e brita comerciais</v>
      </c>
      <c r="E79" s="198" t="str">
        <f>VLOOKUP(B79,'CPU serviços'!B:G,4,0)</f>
        <v>m³</v>
      </c>
      <c r="F79" s="247">
        <f>'MEMORIA DE CALCULO'!G77</f>
        <v>0.22399999999999998</v>
      </c>
      <c r="G79" s="221">
        <f>VLOOKUP(B79,'CPU serviços'!B:G,5,0)</f>
        <v>477.58</v>
      </c>
      <c r="H79" s="222">
        <f t="shared" si="15"/>
        <v>602.77842041379301</v>
      </c>
      <c r="I79" s="223">
        <f t="shared" si="16"/>
        <v>135.02000000000001</v>
      </c>
      <c r="J79" s="299"/>
    </row>
    <row r="80" spans="1:10" ht="30" hidden="1" x14ac:dyDescent="0.25">
      <c r="A80" s="211" t="s">
        <v>563</v>
      </c>
      <c r="B80" s="191">
        <v>98529</v>
      </c>
      <c r="C80" s="191" t="s">
        <v>10</v>
      </c>
      <c r="D80" s="197" t="str">
        <f>VLOOKUP(B80,'CPU serviços'!B:G,3,0)</f>
        <v>CORTE RASO E RECORTE DE ÁRVORE COM DIÂMETRO DE TRONCO MAIOR OU IGUAL A 0,20 M E MENOR QUE 0,40 M.AF_05/2018</v>
      </c>
      <c r="E80" s="198" t="str">
        <f>VLOOKUP(B80,'CPU serviços'!B:G,4,0)</f>
        <v>UN</v>
      </c>
      <c r="F80" s="247">
        <f>'MEMORIA DE CALCULO'!G80</f>
        <v>3</v>
      </c>
      <c r="G80" s="221">
        <f>VLOOKUP(B80,'CPU serviços'!B:G,5,0)</f>
        <v>62.43</v>
      </c>
      <c r="H80" s="222">
        <f t="shared" si="15"/>
        <v>78.796132137931039</v>
      </c>
      <c r="I80" s="223">
        <f t="shared" si="16"/>
        <v>236.39</v>
      </c>
      <c r="J80" s="299"/>
    </row>
    <row r="81" spans="1:10" ht="22.5" hidden="1" customHeight="1" x14ac:dyDescent="0.25">
      <c r="A81" s="211" t="s">
        <v>564</v>
      </c>
      <c r="B81" s="191">
        <v>4915762</v>
      </c>
      <c r="C81" s="191" t="s">
        <v>14</v>
      </c>
      <c r="D81" s="197" t="str">
        <f>VLOOKUP(B81,'CPU serviços'!B:G,3,0)</f>
        <v>Remoção manual de vegetação daninha em frestas</v>
      </c>
      <c r="E81" s="198" t="str">
        <f>VLOOKUP(B81,'CPU serviços'!B:G,4,0)</f>
        <v>m</v>
      </c>
      <c r="F81" s="247">
        <f>'MEMORIA DE CALCULO'!G81</f>
        <v>10</v>
      </c>
      <c r="G81" s="221">
        <f>VLOOKUP(B81,'CPU serviços'!B:G,5,0)</f>
        <v>2.0699999999999998</v>
      </c>
      <c r="H81" s="222">
        <f t="shared" si="15"/>
        <v>2.6126540689655169</v>
      </c>
      <c r="I81" s="223">
        <f t="shared" si="16"/>
        <v>26.13</v>
      </c>
      <c r="J81" s="299"/>
    </row>
    <row r="82" spans="1:10" ht="22.5" hidden="1" customHeight="1" x14ac:dyDescent="0.25">
      <c r="A82" s="211" t="s">
        <v>565</v>
      </c>
      <c r="B82" s="196">
        <v>4800412</v>
      </c>
      <c r="C82" s="191" t="s">
        <v>14</v>
      </c>
      <c r="D82" s="197" t="str">
        <f>VLOOKUP(B82,'CPU serviços'!B:G,3,0)</f>
        <v xml:space="preserve">Raspagem e limpeza de terreno plano </v>
      </c>
      <c r="E82" s="198" t="str">
        <f>VLOOKUP(B82,'CPU serviços'!B:G,4,0)</f>
        <v>m²</v>
      </c>
      <c r="F82" s="247">
        <f>'MEMORIA DE CALCULO'!G78</f>
        <v>2</v>
      </c>
      <c r="G82" s="221">
        <f>VLOOKUP(B82,'CPU serviços'!B:G,5,0)</f>
        <v>4.2</v>
      </c>
      <c r="H82" s="222">
        <f t="shared" si="15"/>
        <v>5.3010372413793103</v>
      </c>
      <c r="I82" s="223">
        <f t="shared" si="16"/>
        <v>10.6</v>
      </c>
      <c r="J82" s="299"/>
    </row>
    <row r="83" spans="1:10" ht="22.5" hidden="1" customHeight="1" x14ac:dyDescent="0.25">
      <c r="A83" s="211"/>
      <c r="B83" s="220"/>
      <c r="C83" s="191"/>
      <c r="D83" s="220" t="s">
        <v>275</v>
      </c>
      <c r="E83" s="198"/>
      <c r="F83" s="247"/>
      <c r="G83" s="221"/>
      <c r="H83" s="222"/>
      <c r="I83" s="223"/>
      <c r="J83" s="299"/>
    </row>
    <row r="84" spans="1:10" ht="30" hidden="1" x14ac:dyDescent="0.25">
      <c r="A84" s="211" t="s">
        <v>566</v>
      </c>
      <c r="B84" s="191">
        <v>98529</v>
      </c>
      <c r="C84" s="191" t="s">
        <v>10</v>
      </c>
      <c r="D84" s="197" t="str">
        <f>VLOOKUP(B84,'CPU serviços'!B:G,3,0)</f>
        <v>CORTE RASO E RECORTE DE ÁRVORE COM DIÂMETRO DE TRONCO MAIOR OU IGUAL A 0,20 M E MENOR QUE 0,40 M.AF_05/2018</v>
      </c>
      <c r="E84" s="198" t="str">
        <f>VLOOKUP(B84,'CPU serviços'!B:G,4,0)</f>
        <v>UN</v>
      </c>
      <c r="F84" s="247">
        <f>'MEMORIA DE CALCULO'!G83</f>
        <v>2</v>
      </c>
      <c r="G84" s="221">
        <f>VLOOKUP(B84,'CPU serviços'!B:G,5,0)</f>
        <v>62.43</v>
      </c>
      <c r="H84" s="222">
        <f t="shared" si="15"/>
        <v>78.796132137931039</v>
      </c>
      <c r="I84" s="223">
        <f t="shared" si="16"/>
        <v>157.59</v>
      </c>
      <c r="J84" s="299"/>
    </row>
    <row r="85" spans="1:10" ht="22.5" customHeight="1" x14ac:dyDescent="0.25">
      <c r="A85" s="272" t="s">
        <v>500</v>
      </c>
      <c r="B85" s="268"/>
      <c r="C85" s="294"/>
      <c r="D85" s="268" t="s">
        <v>342</v>
      </c>
      <c r="E85" s="268"/>
      <c r="F85" s="269"/>
      <c r="G85" s="438" t="s">
        <v>649</v>
      </c>
      <c r="H85" s="439"/>
      <c r="I85" s="357">
        <f>SUM(I87:I98)</f>
        <v>9688.42</v>
      </c>
      <c r="J85" s="299"/>
    </row>
    <row r="86" spans="1:10" ht="22.5" hidden="1" customHeight="1" x14ac:dyDescent="0.25">
      <c r="A86" s="211"/>
      <c r="B86" s="220"/>
      <c r="C86" s="191"/>
      <c r="D86" s="220" t="s">
        <v>270</v>
      </c>
      <c r="E86" s="220"/>
      <c r="F86" s="247"/>
      <c r="G86" s="220"/>
      <c r="H86" s="220"/>
      <c r="I86" s="232"/>
      <c r="J86" s="299"/>
    </row>
    <row r="87" spans="1:10" ht="22.5" hidden="1" customHeight="1" x14ac:dyDescent="0.25">
      <c r="A87" s="211" t="s">
        <v>551</v>
      </c>
      <c r="B87" s="191">
        <v>4800412</v>
      </c>
      <c r="C87" s="191" t="s">
        <v>14</v>
      </c>
      <c r="D87" s="197" t="str">
        <f>VLOOKUP(B87,'CPU serviços'!B:G,3,0)</f>
        <v xml:space="preserve">Raspagem e limpeza de terreno plano </v>
      </c>
      <c r="E87" s="198" t="str">
        <f>VLOOKUP(B87,'CPU serviços'!B:G,4,0)</f>
        <v>m²</v>
      </c>
      <c r="F87" s="247">
        <f>'MEMORIA DE CALCULO'!G90</f>
        <v>9</v>
      </c>
      <c r="G87" s="221">
        <f>VLOOKUP(B87,'CPU serviços'!B:G,5,0)</f>
        <v>4.2</v>
      </c>
      <c r="H87" s="222">
        <f t="shared" ref="H87:H98" si="17">((G87*$I$7)+G87)</f>
        <v>5.3010372413793103</v>
      </c>
      <c r="I87" s="223">
        <f t="shared" ref="I87:I98" si="18">ROUND(H87*F87,2)</f>
        <v>47.71</v>
      </c>
      <c r="J87" s="299"/>
    </row>
    <row r="88" spans="1:10" ht="30" hidden="1" customHeight="1" x14ac:dyDescent="0.25">
      <c r="A88" s="211" t="s">
        <v>552</v>
      </c>
      <c r="B88" s="191">
        <v>98529</v>
      </c>
      <c r="C88" s="191" t="s">
        <v>10</v>
      </c>
      <c r="D88" s="197" t="str">
        <f>VLOOKUP(B88,'CPU serviços'!B:G,3,0)</f>
        <v>CORTE RASO E RECORTE DE ÁRVORE COM DIÂMETRO DE TRONCO MAIOR OU IGUAL A 0,20 M E MENOR QUE 0,40 M.AF_05/2018</v>
      </c>
      <c r="E88" s="198" t="str">
        <f>VLOOKUP(B88,'CPU serviços'!B:G,4,0)</f>
        <v>UN</v>
      </c>
      <c r="F88" s="247">
        <f>'MEMORIA DE CALCULO'!G91</f>
        <v>5</v>
      </c>
      <c r="G88" s="221">
        <f>VLOOKUP(B88,'CPU serviços'!B:G,5,0)</f>
        <v>62.43</v>
      </c>
      <c r="H88" s="222">
        <f t="shared" si="17"/>
        <v>78.796132137931039</v>
      </c>
      <c r="I88" s="223">
        <f t="shared" si="18"/>
        <v>393.98</v>
      </c>
      <c r="J88" s="299"/>
    </row>
    <row r="89" spans="1:10" ht="22.5" hidden="1" customHeight="1" x14ac:dyDescent="0.25">
      <c r="A89" s="211" t="s">
        <v>553</v>
      </c>
      <c r="B89" s="191">
        <v>1106057</v>
      </c>
      <c r="C89" s="191" t="s">
        <v>14</v>
      </c>
      <c r="D89" s="197" t="str">
        <f>VLOOKUP(B89,'CPU serviços'!B:G,3,0)</f>
        <v>Concreto magro - confecção em betoneira e lançamento manual - areia e brita comerciais</v>
      </c>
      <c r="E89" s="198" t="str">
        <f>VLOOKUP(B89,'CPU serviços'!B:G,4,0)</f>
        <v>m³</v>
      </c>
      <c r="F89" s="247">
        <f>'MEMORIA DE CALCULO'!G87</f>
        <v>0.6</v>
      </c>
      <c r="G89" s="221">
        <f>VLOOKUP(B89,'CPU serviços'!B:G,5,0)</f>
        <v>477.58</v>
      </c>
      <c r="H89" s="222">
        <f t="shared" si="17"/>
        <v>602.77842041379301</v>
      </c>
      <c r="I89" s="223">
        <f t="shared" si="18"/>
        <v>361.67</v>
      </c>
      <c r="J89" s="299"/>
    </row>
    <row r="90" spans="1:10" ht="45" hidden="1" x14ac:dyDescent="0.2">
      <c r="A90" s="211"/>
      <c r="B90" s="191">
        <v>97086</v>
      </c>
      <c r="C90" s="209" t="s">
        <v>10</v>
      </c>
      <c r="D90" s="197" t="str">
        <f>VLOOKUP(B90,'CPU serviços'!B:G,3,0)</f>
        <v>FABRICAÇÃO, MONTAGEM E DESMONTAGEM DE FORMA PARA RADIER, PISO DE CONCRETO OU LAJE SOBRE SOLO, EM MADEIRA SERRADA, 4 UTILIZAÇÕES. AF_09/2021</v>
      </c>
      <c r="E90" s="198" t="str">
        <f>VLOOKUP(B90,'CPU serviços'!B:G,4,0)</f>
        <v>m²</v>
      </c>
      <c r="F90" s="247">
        <f>'MEMORIA DE CALCULO'!G88</f>
        <v>2.4</v>
      </c>
      <c r="G90" s="221">
        <f>VLOOKUP(B90,'CPU serviços'!B:G,5,0)</f>
        <v>135.6</v>
      </c>
      <c r="H90" s="222">
        <f t="shared" si="17"/>
        <v>171.14777379310343</v>
      </c>
      <c r="I90" s="223">
        <f t="shared" si="18"/>
        <v>410.75</v>
      </c>
      <c r="J90" s="299"/>
    </row>
    <row r="91" spans="1:10" ht="32.25" hidden="1" customHeight="1" x14ac:dyDescent="0.25">
      <c r="A91" s="211" t="s">
        <v>554</v>
      </c>
      <c r="B91" s="199">
        <v>1106165</v>
      </c>
      <c r="C91" s="191" t="s">
        <v>14</v>
      </c>
      <c r="D91" s="197" t="str">
        <f>VLOOKUP(B91,'CPU serviços'!B:G,3,0)</f>
        <v>Concreto ciclópico fck = 20 MPa - confecção em betoneira e lançamento manual - areia, brita e pedra de mão comerciais</v>
      </c>
      <c r="E91" s="198" t="str">
        <f>VLOOKUP(B91,'CPU serviços'!B:G,4,0)</f>
        <v>m³</v>
      </c>
      <c r="F91" s="247">
        <f>'MEMORIA DE CALCULO'!G89</f>
        <v>1.425</v>
      </c>
      <c r="G91" s="221">
        <f>VLOOKUP(B91,'CPU serviços'!B:G,5,0)</f>
        <v>419.45</v>
      </c>
      <c r="H91" s="222">
        <f t="shared" si="17"/>
        <v>529.40954068965516</v>
      </c>
      <c r="I91" s="223">
        <f t="shared" si="18"/>
        <v>754.41</v>
      </c>
      <c r="J91" s="299"/>
    </row>
    <row r="92" spans="1:10" ht="30" hidden="1" customHeight="1" x14ac:dyDescent="0.25">
      <c r="A92" s="211" t="s">
        <v>555</v>
      </c>
      <c r="B92" s="191">
        <v>4915762</v>
      </c>
      <c r="C92" s="191" t="s">
        <v>14</v>
      </c>
      <c r="D92" s="197" t="str">
        <f>VLOOKUP(B92,'CPU serviços'!B:G,3,0)</f>
        <v>Remoção manual de vegetação daninha em frestas</v>
      </c>
      <c r="E92" s="198" t="str">
        <f>VLOOKUP(B92,'CPU serviços'!B:G,4,0)</f>
        <v>m</v>
      </c>
      <c r="F92" s="247">
        <f>'MEMORIA DE CALCULO'!G92</f>
        <v>10</v>
      </c>
      <c r="G92" s="221">
        <f>VLOOKUP(B92,'CPU serviços'!B:G,5,0)</f>
        <v>2.0699999999999998</v>
      </c>
      <c r="H92" s="222">
        <f t="shared" si="17"/>
        <v>2.6126540689655169</v>
      </c>
      <c r="I92" s="223">
        <f t="shared" si="18"/>
        <v>26.13</v>
      </c>
      <c r="J92" s="299"/>
    </row>
    <row r="93" spans="1:10" ht="22.5" hidden="1" customHeight="1" x14ac:dyDescent="0.25">
      <c r="A93" s="211"/>
      <c r="B93" s="220"/>
      <c r="C93" s="191"/>
      <c r="D93" s="220" t="s">
        <v>275</v>
      </c>
      <c r="E93" s="198"/>
      <c r="F93" s="247"/>
      <c r="G93" s="221"/>
      <c r="H93" s="222"/>
      <c r="I93" s="223"/>
      <c r="J93" s="299"/>
    </row>
    <row r="94" spans="1:10" ht="22.5" hidden="1" customHeight="1" x14ac:dyDescent="0.25">
      <c r="A94" s="211" t="s">
        <v>556</v>
      </c>
      <c r="B94" s="191">
        <v>4016008</v>
      </c>
      <c r="C94" s="191" t="s">
        <v>14</v>
      </c>
      <c r="D94" s="197" t="str">
        <f>VLOOKUP(B94,'CPU serviços'!B:G,3,0)</f>
        <v>Escavação e carga de material de jazida com trator de 127 kW e carregadeira de 3,4 m³</v>
      </c>
      <c r="E94" s="198" t="str">
        <f>VLOOKUP(B94,'CPU serviços'!B:G,4,0)</f>
        <v>m³</v>
      </c>
      <c r="F94" s="247">
        <f>'MEMORIA DE CALCULO'!G95</f>
        <v>202.5</v>
      </c>
      <c r="G94" s="221">
        <f>VLOOKUP(B94,'CPU serviços'!B:G,5,0)</f>
        <v>3.72</v>
      </c>
      <c r="H94" s="222">
        <f t="shared" si="17"/>
        <v>4.6952044137931033</v>
      </c>
      <c r="I94" s="223">
        <f t="shared" si="18"/>
        <v>950.78</v>
      </c>
      <c r="J94" s="299"/>
    </row>
    <row r="95" spans="1:10" ht="22.5" hidden="1" customHeight="1" x14ac:dyDescent="0.25">
      <c r="A95" s="211" t="s">
        <v>557</v>
      </c>
      <c r="B95" s="191">
        <v>5914359</v>
      </c>
      <c r="C95" s="191" t="s">
        <v>14</v>
      </c>
      <c r="D95" s="197" t="str">
        <f>VLOOKUP(B95,'CPU serviços'!B:G,3,0)</f>
        <v>Transporte com caminhão basculante de 10 m³ - rodovia em leito natural</v>
      </c>
      <c r="E95" s="198" t="str">
        <f>VLOOKUP(B95,'CPU serviços'!B:G,4,0)</f>
        <v>tkm</v>
      </c>
      <c r="F95" s="247">
        <f>F94*1.6*1</f>
        <v>324</v>
      </c>
      <c r="G95" s="221">
        <f>VLOOKUP(B95,'CPU serviços'!B:G,5,0)</f>
        <v>1.2</v>
      </c>
      <c r="H95" s="222">
        <f t="shared" si="17"/>
        <v>1.5145820689655172</v>
      </c>
      <c r="I95" s="223">
        <f t="shared" si="18"/>
        <v>490.72</v>
      </c>
      <c r="J95" s="299"/>
    </row>
    <row r="96" spans="1:10" ht="22.5" hidden="1" customHeight="1" x14ac:dyDescent="0.25">
      <c r="A96" s="211" t="s">
        <v>558</v>
      </c>
      <c r="B96" s="191">
        <v>4915774</v>
      </c>
      <c r="C96" s="191" t="s">
        <v>14</v>
      </c>
      <c r="D96" s="197" t="str">
        <f>VLOOKUP(B96,'CPU serviços'!B:G,3,0)</f>
        <v>Recomposição de erosão em corte ou aterro com material de jazida</v>
      </c>
      <c r="E96" s="198" t="str">
        <f>VLOOKUP(B96,'CPU serviços'!B:G,4,0)</f>
        <v>m³</v>
      </c>
      <c r="F96" s="247">
        <f>F94</f>
        <v>202.5</v>
      </c>
      <c r="G96" s="221">
        <f>VLOOKUP(B96,'CPU serviços'!B:G,5,0)</f>
        <v>23.08</v>
      </c>
      <c r="H96" s="222">
        <f t="shared" si="17"/>
        <v>29.130461793103443</v>
      </c>
      <c r="I96" s="223">
        <f t="shared" si="18"/>
        <v>5898.92</v>
      </c>
      <c r="J96" s="299"/>
    </row>
    <row r="97" spans="1:10" ht="22.5" hidden="1" customHeight="1" x14ac:dyDescent="0.25">
      <c r="A97" s="211" t="s">
        <v>559</v>
      </c>
      <c r="B97" s="191">
        <v>4800412</v>
      </c>
      <c r="C97" s="191" t="s">
        <v>14</v>
      </c>
      <c r="D97" s="197" t="str">
        <f>VLOOKUP(B97,'CPU serviços'!B:G,3,0)</f>
        <v xml:space="preserve">Raspagem e limpeza de terreno plano </v>
      </c>
      <c r="E97" s="198" t="str">
        <f>VLOOKUP(B97,'CPU serviços'!B:G,4,0)</f>
        <v>m²</v>
      </c>
      <c r="F97" s="247">
        <f>'MEMORIA DE CALCULO'!G94</f>
        <v>7.1999999999999993</v>
      </c>
      <c r="G97" s="221">
        <f>VLOOKUP(B97,'CPU serviços'!B:G,5,0)</f>
        <v>4.2</v>
      </c>
      <c r="H97" s="222">
        <f t="shared" si="17"/>
        <v>5.3010372413793103</v>
      </c>
      <c r="I97" s="223">
        <f t="shared" si="18"/>
        <v>38.17</v>
      </c>
      <c r="J97" s="299"/>
    </row>
    <row r="98" spans="1:10" ht="30" hidden="1" x14ac:dyDescent="0.25">
      <c r="A98" s="211" t="s">
        <v>560</v>
      </c>
      <c r="B98" s="191">
        <v>98529</v>
      </c>
      <c r="C98" s="191" t="s">
        <v>10</v>
      </c>
      <c r="D98" s="197" t="str">
        <f>VLOOKUP(B98,'CPU serviços'!B:G,3,0)</f>
        <v>CORTE RASO E RECORTE DE ÁRVORE COM DIÂMETRO DE TRONCO MAIOR OU IGUAL A 0,20 M E MENOR QUE 0,40 M.AF_05/2018</v>
      </c>
      <c r="E98" s="198" t="str">
        <f>VLOOKUP(B98,'CPU serviços'!B:G,4,0)</f>
        <v>UN</v>
      </c>
      <c r="F98" s="247">
        <f>'MEMORIA DE CALCULO'!G96</f>
        <v>4</v>
      </c>
      <c r="G98" s="221">
        <f>VLOOKUP(B98,'CPU serviços'!B:G,5,0)</f>
        <v>62.43</v>
      </c>
      <c r="H98" s="222">
        <f t="shared" si="17"/>
        <v>78.796132137931039</v>
      </c>
      <c r="I98" s="223">
        <f t="shared" si="18"/>
        <v>315.18</v>
      </c>
      <c r="J98" s="299"/>
    </row>
    <row r="99" spans="1:10" ht="22.5" customHeight="1" x14ac:dyDescent="0.25">
      <c r="A99" s="272" t="s">
        <v>501</v>
      </c>
      <c r="B99" s="268"/>
      <c r="C99" s="294"/>
      <c r="D99" s="268" t="s">
        <v>354</v>
      </c>
      <c r="E99" s="268"/>
      <c r="F99" s="269"/>
      <c r="G99" s="438" t="s">
        <v>649</v>
      </c>
      <c r="H99" s="439"/>
      <c r="I99" s="357">
        <f>SUM(I101:I106)</f>
        <v>931.27</v>
      </c>
      <c r="J99" s="299"/>
    </row>
    <row r="100" spans="1:10" ht="22.5" hidden="1" customHeight="1" x14ac:dyDescent="0.25">
      <c r="A100" s="211"/>
      <c r="B100" s="220"/>
      <c r="C100" s="191"/>
      <c r="D100" s="220" t="s">
        <v>270</v>
      </c>
      <c r="E100" s="220"/>
      <c r="F100" s="247"/>
      <c r="G100" s="220"/>
      <c r="H100" s="220"/>
      <c r="I100" s="232"/>
      <c r="J100" s="299"/>
    </row>
    <row r="101" spans="1:10" ht="22.5" hidden="1" customHeight="1" x14ac:dyDescent="0.25">
      <c r="A101" s="211" t="s">
        <v>546</v>
      </c>
      <c r="B101" s="274">
        <v>1106057</v>
      </c>
      <c r="C101" s="191" t="s">
        <v>14</v>
      </c>
      <c r="D101" s="197" t="str">
        <f>VLOOKUP(B101,'CPU serviços'!B:G,3,0)</f>
        <v>Concreto magro - confecção em betoneira e lançamento manual - areia e brita comerciais</v>
      </c>
      <c r="E101" s="198" t="str">
        <f>VLOOKUP(B101,'CPU serviços'!B:G,4,0)</f>
        <v>m³</v>
      </c>
      <c r="F101" s="247">
        <f>'MEMORIA DE CALCULO'!G103</f>
        <v>0.53999999999999992</v>
      </c>
      <c r="G101" s="221">
        <f>VLOOKUP(B101,'CPU serviços'!B:G,5,0)</f>
        <v>477.58</v>
      </c>
      <c r="H101" s="222">
        <f t="shared" ref="H101:H106" si="19">((G101*$I$7)+G101)</f>
        <v>602.77842041379301</v>
      </c>
      <c r="I101" s="223">
        <f t="shared" ref="I101:I106" si="20">ROUND(H101*F101,2)</f>
        <v>325.5</v>
      </c>
      <c r="J101" s="299"/>
    </row>
    <row r="102" spans="1:10" ht="22.5" hidden="1" customHeight="1" x14ac:dyDescent="0.25">
      <c r="A102" s="211" t="s">
        <v>547</v>
      </c>
      <c r="B102" s="191">
        <v>4800412</v>
      </c>
      <c r="C102" s="191" t="s">
        <v>14</v>
      </c>
      <c r="D102" s="197" t="str">
        <f>VLOOKUP(B102,'CPU serviços'!B:G,3,0)</f>
        <v xml:space="preserve">Raspagem e limpeza de terreno plano </v>
      </c>
      <c r="E102" s="198" t="str">
        <f>VLOOKUP(B102,'CPU serviços'!B:G,4,0)</f>
        <v>m²</v>
      </c>
      <c r="F102" s="247">
        <f>'MEMORIA DE CALCULO'!G104</f>
        <v>4</v>
      </c>
      <c r="G102" s="221">
        <f>VLOOKUP(B102,'CPU serviços'!B:G,5,0)</f>
        <v>4.2</v>
      </c>
      <c r="H102" s="222">
        <f t="shared" si="19"/>
        <v>5.3010372413793103</v>
      </c>
      <c r="I102" s="223">
        <f t="shared" si="20"/>
        <v>21.2</v>
      </c>
      <c r="J102" s="299"/>
    </row>
    <row r="103" spans="1:10" ht="30" hidden="1" x14ac:dyDescent="0.25">
      <c r="A103" s="211" t="s">
        <v>548</v>
      </c>
      <c r="B103" s="191">
        <v>98529</v>
      </c>
      <c r="C103" s="191" t="s">
        <v>10</v>
      </c>
      <c r="D103" s="197" t="str">
        <f>VLOOKUP(B103,'CPU serviços'!B:G,3,0)</f>
        <v>CORTE RASO E RECORTE DE ÁRVORE COM DIÂMETRO DE TRONCO MAIOR OU IGUAL A 0,20 M E MENOR QUE 0,40 M.AF_05/2018</v>
      </c>
      <c r="E103" s="198" t="str">
        <f>VLOOKUP(B103,'CPU serviços'!B:G,4,0)</f>
        <v>UN</v>
      </c>
      <c r="F103" s="247">
        <f>'MEMORIA DE CALCULO'!G105</f>
        <v>4</v>
      </c>
      <c r="G103" s="221">
        <f>VLOOKUP(B103,'CPU serviços'!B:G,5,0)</f>
        <v>62.43</v>
      </c>
      <c r="H103" s="222">
        <f t="shared" si="19"/>
        <v>78.796132137931039</v>
      </c>
      <c r="I103" s="223">
        <f t="shared" si="20"/>
        <v>315.18</v>
      </c>
      <c r="J103" s="299"/>
    </row>
    <row r="104" spans="1:10" ht="22.5" hidden="1" customHeight="1" x14ac:dyDescent="0.25">
      <c r="A104" s="211"/>
      <c r="B104" s="158"/>
      <c r="C104" s="191"/>
      <c r="D104" s="220" t="s">
        <v>275</v>
      </c>
      <c r="E104" s="198"/>
      <c r="F104" s="247"/>
      <c r="G104" s="221"/>
      <c r="H104" s="222"/>
      <c r="I104" s="223"/>
      <c r="J104" s="299"/>
    </row>
    <row r="105" spans="1:10" ht="22.5" hidden="1" customHeight="1" x14ac:dyDescent="0.25">
      <c r="A105" s="211" t="s">
        <v>549</v>
      </c>
      <c r="B105" s="191">
        <v>4800412</v>
      </c>
      <c r="C105" s="191" t="s">
        <v>14</v>
      </c>
      <c r="D105" s="197" t="str">
        <f>VLOOKUP(B105,'CPU serviços'!B:G,3,0)</f>
        <v xml:space="preserve">Raspagem e limpeza de terreno plano </v>
      </c>
      <c r="E105" s="198" t="str">
        <f>VLOOKUP(B105,'CPU serviços'!B:G,4,0)</f>
        <v>m²</v>
      </c>
      <c r="F105" s="247">
        <f>'MEMORIA DE CALCULO'!G108</f>
        <v>21.090000000000003</v>
      </c>
      <c r="G105" s="221">
        <f>VLOOKUP(B105,'CPU serviços'!B:G,5,0)</f>
        <v>4.2</v>
      </c>
      <c r="H105" s="222">
        <f t="shared" si="19"/>
        <v>5.3010372413793103</v>
      </c>
      <c r="I105" s="223">
        <f t="shared" si="20"/>
        <v>111.8</v>
      </c>
      <c r="J105" s="299"/>
    </row>
    <row r="106" spans="1:10" ht="30" hidden="1" x14ac:dyDescent="0.25">
      <c r="A106" s="211" t="s">
        <v>550</v>
      </c>
      <c r="B106" s="191">
        <v>98529</v>
      </c>
      <c r="C106" s="191" t="s">
        <v>10</v>
      </c>
      <c r="D106" s="197" t="str">
        <f>VLOOKUP(B106,'CPU serviços'!B:G,3,0)</f>
        <v>CORTE RASO E RECORTE DE ÁRVORE COM DIÂMETRO DE TRONCO MAIOR OU IGUAL A 0,20 M E MENOR QUE 0,40 M.AF_05/2018</v>
      </c>
      <c r="E106" s="198" t="str">
        <f>VLOOKUP(B106,'CPU serviços'!B:G,4,0)</f>
        <v>UN</v>
      </c>
      <c r="F106" s="247">
        <v>2</v>
      </c>
      <c r="G106" s="221">
        <f>VLOOKUP(B106,'CPU serviços'!B:G,5,0)</f>
        <v>62.43</v>
      </c>
      <c r="H106" s="222">
        <f t="shared" si="19"/>
        <v>78.796132137931039</v>
      </c>
      <c r="I106" s="223">
        <f t="shared" si="20"/>
        <v>157.59</v>
      </c>
      <c r="J106" s="299"/>
    </row>
    <row r="107" spans="1:10" ht="22.5" customHeight="1" x14ac:dyDescent="0.25">
      <c r="A107" s="272" t="s">
        <v>502</v>
      </c>
      <c r="B107" s="268"/>
      <c r="C107" s="294"/>
      <c r="D107" s="268" t="s">
        <v>364</v>
      </c>
      <c r="E107" s="268"/>
      <c r="F107" s="269"/>
      <c r="G107" s="438" t="s">
        <v>649</v>
      </c>
      <c r="H107" s="439"/>
      <c r="I107" s="357">
        <f>SUM(I109:I110)</f>
        <v>857.68000000000006</v>
      </c>
      <c r="J107" s="299"/>
    </row>
    <row r="108" spans="1:10" ht="22.5" hidden="1" customHeight="1" x14ac:dyDescent="0.25">
      <c r="A108" s="211"/>
      <c r="B108" s="220"/>
      <c r="C108" s="191"/>
      <c r="D108" s="220" t="s">
        <v>270</v>
      </c>
      <c r="E108" s="220"/>
      <c r="F108" s="247"/>
      <c r="G108" s="220"/>
      <c r="H108" s="220"/>
      <c r="I108" s="232"/>
      <c r="J108" s="299"/>
    </row>
    <row r="109" spans="1:10" ht="22.5" hidden="1" customHeight="1" x14ac:dyDescent="0.25">
      <c r="A109" s="211" t="s">
        <v>544</v>
      </c>
      <c r="B109" s="274">
        <v>1106057</v>
      </c>
      <c r="C109" s="191" t="s">
        <v>14</v>
      </c>
      <c r="D109" s="197" t="str">
        <f>VLOOKUP(B109,'CPU serviços'!B:G,3,0)</f>
        <v>Concreto magro - confecção em betoneira e lançamento manual - areia e brita comerciais</v>
      </c>
      <c r="E109" s="198" t="str">
        <f>VLOOKUP(B109,'CPU serviços'!B:G,4,0)</f>
        <v>m³</v>
      </c>
      <c r="F109" s="247">
        <f>'MEMORIA DE CALCULO'!G112</f>
        <v>0.9</v>
      </c>
      <c r="G109" s="221">
        <f>VLOOKUP(B109,'CPU serviços'!B:G,5,0)</f>
        <v>477.58</v>
      </c>
      <c r="H109" s="222">
        <f t="shared" ref="H109:H110" si="21">((G109*$I$7)+G109)</f>
        <v>602.77842041379301</v>
      </c>
      <c r="I109" s="223">
        <f t="shared" ref="I109:I110" si="22">ROUND(H109*F109,2)</f>
        <v>542.5</v>
      </c>
      <c r="J109" s="299"/>
    </row>
    <row r="110" spans="1:10" ht="30.75" hidden="1" customHeight="1" x14ac:dyDescent="0.25">
      <c r="A110" s="211" t="s">
        <v>545</v>
      </c>
      <c r="B110" s="191">
        <v>98529</v>
      </c>
      <c r="C110" s="191" t="s">
        <v>10</v>
      </c>
      <c r="D110" s="197" t="str">
        <f>VLOOKUP(B110,'CPU serviços'!B:G,3,0)</f>
        <v>CORTE RASO E RECORTE DE ÁRVORE COM DIÂMETRO DE TRONCO MAIOR OU IGUAL A 0,20 M E MENOR QUE 0,40 M.AF_05/2018</v>
      </c>
      <c r="E110" s="198" t="str">
        <f>VLOOKUP(B110,'CPU serviços'!B:G,4,0)</f>
        <v>UN</v>
      </c>
      <c r="F110" s="247">
        <f>'MEMORIA DE CALCULO'!G113</f>
        <v>4</v>
      </c>
      <c r="G110" s="221">
        <f>VLOOKUP(B110,'CPU serviços'!B:G,5,0)</f>
        <v>62.43</v>
      </c>
      <c r="H110" s="222">
        <f t="shared" si="21"/>
        <v>78.796132137931039</v>
      </c>
      <c r="I110" s="223">
        <f t="shared" si="22"/>
        <v>315.18</v>
      </c>
      <c r="J110" s="299"/>
    </row>
    <row r="111" spans="1:10" ht="22.5" customHeight="1" x14ac:dyDescent="0.25">
      <c r="A111" s="272" t="s">
        <v>503</v>
      </c>
      <c r="B111" s="268"/>
      <c r="C111" s="294"/>
      <c r="D111" s="268" t="s">
        <v>369</v>
      </c>
      <c r="E111" s="268"/>
      <c r="F111" s="269"/>
      <c r="G111" s="438" t="s">
        <v>649</v>
      </c>
      <c r="H111" s="439"/>
      <c r="I111" s="357">
        <f>SUM(I113:I116)</f>
        <v>1587.78</v>
      </c>
      <c r="J111" s="299"/>
    </row>
    <row r="112" spans="1:10" ht="22.5" hidden="1" customHeight="1" x14ac:dyDescent="0.25">
      <c r="A112" s="211"/>
      <c r="B112" s="220"/>
      <c r="C112" s="191"/>
      <c r="D112" s="220" t="s">
        <v>270</v>
      </c>
      <c r="E112" s="220"/>
      <c r="F112" s="247"/>
      <c r="G112" s="220"/>
      <c r="H112" s="220"/>
      <c r="I112" s="232"/>
      <c r="J112" s="299"/>
    </row>
    <row r="113" spans="1:10" ht="22.5" hidden="1" customHeight="1" x14ac:dyDescent="0.25">
      <c r="A113" s="211" t="s">
        <v>541</v>
      </c>
      <c r="B113" s="274">
        <v>4915712</v>
      </c>
      <c r="C113" s="191" t="s">
        <v>14</v>
      </c>
      <c r="D113" s="197" t="str">
        <f>VLOOKUP(B113,'CPU serviços'!B:G,3,0)</f>
        <v xml:space="preserve">Limpeza de bueiro </v>
      </c>
      <c r="E113" s="198" t="str">
        <f>VLOOKUP(B113,'CPU serviços'!B:G,4,0)</f>
        <v>m³</v>
      </c>
      <c r="F113" s="247">
        <f>'MEMORIA DE CALCULO'!G119</f>
        <v>56.809999999999995</v>
      </c>
      <c r="G113" s="221">
        <f>VLOOKUP(B113,'CPU serviços'!B:G,5,0)</f>
        <v>20.68</v>
      </c>
      <c r="H113" s="222">
        <f t="shared" ref="H113:H116" si="23">((G113*$I$7)+G113)</f>
        <v>26.101297655172413</v>
      </c>
      <c r="I113" s="223">
        <f t="shared" ref="I113:I116" si="24">ROUND(H113*F113,2)</f>
        <v>1482.81</v>
      </c>
      <c r="J113" s="299"/>
    </row>
    <row r="114" spans="1:10" ht="22.5" hidden="1" customHeight="1" x14ac:dyDescent="0.25">
      <c r="A114" s="211" t="s">
        <v>542</v>
      </c>
      <c r="B114" s="191">
        <v>4800412</v>
      </c>
      <c r="C114" s="191" t="s">
        <v>14</v>
      </c>
      <c r="D114" s="197" t="str">
        <f>VLOOKUP(B114,'CPU serviços'!B:G,3,0)</f>
        <v xml:space="preserve">Raspagem e limpeza de terreno plano </v>
      </c>
      <c r="E114" s="198" t="str">
        <f>VLOOKUP(B114,'CPU serviços'!B:G,4,0)</f>
        <v>m²</v>
      </c>
      <c r="F114" s="247">
        <f>'MEMORIA DE CALCULO'!G120</f>
        <v>14.6</v>
      </c>
      <c r="G114" s="221">
        <f>VLOOKUP(B114,'CPU serviços'!B:G,5,0)</f>
        <v>4.2</v>
      </c>
      <c r="H114" s="222">
        <f t="shared" si="23"/>
        <v>5.3010372413793103</v>
      </c>
      <c r="I114" s="223">
        <f t="shared" si="24"/>
        <v>77.400000000000006</v>
      </c>
      <c r="J114" s="299"/>
    </row>
    <row r="115" spans="1:10" ht="22.5" hidden="1" customHeight="1" x14ac:dyDescent="0.25">
      <c r="A115" s="211"/>
      <c r="B115" s="220"/>
      <c r="C115" s="191"/>
      <c r="D115" s="220" t="s">
        <v>275</v>
      </c>
      <c r="E115" s="198"/>
      <c r="F115" s="247"/>
      <c r="G115" s="221"/>
      <c r="H115" s="222"/>
      <c r="I115" s="223"/>
      <c r="J115" s="299"/>
    </row>
    <row r="116" spans="1:10" ht="22.5" hidden="1" customHeight="1" x14ac:dyDescent="0.25">
      <c r="A116" s="211" t="s">
        <v>543</v>
      </c>
      <c r="B116" s="191">
        <v>4800412</v>
      </c>
      <c r="C116" s="191" t="s">
        <v>14</v>
      </c>
      <c r="D116" s="197" t="str">
        <f>VLOOKUP(B116,'CPU serviços'!B:G,3,0)</f>
        <v xml:space="preserve">Raspagem e limpeza de terreno plano </v>
      </c>
      <c r="E116" s="198" t="str">
        <f>VLOOKUP(B116,'CPU serviços'!B:G,4,0)</f>
        <v>m²</v>
      </c>
      <c r="F116" s="247">
        <f>'MEMORIA DE CALCULO'!G123</f>
        <v>5.2</v>
      </c>
      <c r="G116" s="221">
        <f>VLOOKUP(B116,'CPU serviços'!B:G,5,0)</f>
        <v>4.2</v>
      </c>
      <c r="H116" s="222">
        <f t="shared" si="23"/>
        <v>5.3010372413793103</v>
      </c>
      <c r="I116" s="223">
        <f t="shared" si="24"/>
        <v>27.57</v>
      </c>
      <c r="J116" s="299"/>
    </row>
    <row r="117" spans="1:10" ht="22.5" customHeight="1" x14ac:dyDescent="0.25">
      <c r="A117" s="272" t="s">
        <v>504</v>
      </c>
      <c r="B117" s="268"/>
      <c r="C117" s="294"/>
      <c r="D117" s="268" t="s">
        <v>379</v>
      </c>
      <c r="E117" s="268"/>
      <c r="F117" s="269"/>
      <c r="G117" s="438" t="s">
        <v>649</v>
      </c>
      <c r="H117" s="439"/>
      <c r="I117" s="357">
        <f>SUM(I119:I123)</f>
        <v>1514.09</v>
      </c>
      <c r="J117" s="299"/>
    </row>
    <row r="118" spans="1:10" ht="22.5" hidden="1" customHeight="1" x14ac:dyDescent="0.25">
      <c r="A118" s="211"/>
      <c r="B118" s="220"/>
      <c r="C118" s="191"/>
      <c r="D118" s="220" t="s">
        <v>270</v>
      </c>
      <c r="E118" s="220"/>
      <c r="F118" s="247"/>
      <c r="G118" s="220"/>
      <c r="H118" s="220"/>
      <c r="I118" s="232"/>
      <c r="J118" s="299"/>
    </row>
    <row r="119" spans="1:10" ht="22.5" hidden="1" customHeight="1" x14ac:dyDescent="0.25">
      <c r="A119" s="211" t="s">
        <v>537</v>
      </c>
      <c r="B119" s="191">
        <v>4800412</v>
      </c>
      <c r="C119" s="191" t="s">
        <v>14</v>
      </c>
      <c r="D119" s="197" t="str">
        <f>VLOOKUP(B119,'CPU serviços'!B:G,3,0)</f>
        <v xml:space="preserve">Raspagem e limpeza de terreno plano </v>
      </c>
      <c r="E119" s="198" t="str">
        <f>VLOOKUP(B119,'CPU serviços'!B:G,4,0)</f>
        <v>m²</v>
      </c>
      <c r="F119" s="247">
        <f>'MEMORIA DE CALCULO'!G128</f>
        <v>71.25</v>
      </c>
      <c r="G119" s="221">
        <f>VLOOKUP(B119,'CPU serviços'!B:G,5,0)</f>
        <v>4.2</v>
      </c>
      <c r="H119" s="222">
        <f t="shared" ref="H119:H123" si="25">((G119*$I$7)+G119)</f>
        <v>5.3010372413793103</v>
      </c>
      <c r="I119" s="223">
        <f t="shared" ref="I119:I123" si="26">ROUND(H119*F119,2)</f>
        <v>377.7</v>
      </c>
      <c r="J119" s="299"/>
    </row>
    <row r="120" spans="1:10" ht="30" hidden="1" x14ac:dyDescent="0.25">
      <c r="A120" s="211" t="s">
        <v>538</v>
      </c>
      <c r="B120" s="191">
        <v>98529</v>
      </c>
      <c r="C120" s="191" t="s">
        <v>10</v>
      </c>
      <c r="D120" s="197" t="str">
        <f>VLOOKUP(B120,'CPU serviços'!B:G,3,0)</f>
        <v>CORTE RASO E RECORTE DE ÁRVORE COM DIÂMETRO DE TRONCO MAIOR OU IGUAL A 0,20 M E MENOR QUE 0,40 M.AF_05/2018</v>
      </c>
      <c r="E120" s="198" t="str">
        <f>VLOOKUP(B120,'CPU serviços'!B:G,4,0)</f>
        <v>UN</v>
      </c>
      <c r="F120" s="247">
        <v>8</v>
      </c>
      <c r="G120" s="221">
        <f>VLOOKUP(B120,'CPU serviços'!B:G,5,0)</f>
        <v>62.43</v>
      </c>
      <c r="H120" s="222">
        <f t="shared" si="25"/>
        <v>78.796132137931039</v>
      </c>
      <c r="I120" s="223">
        <f t="shared" si="26"/>
        <v>630.37</v>
      </c>
      <c r="J120" s="299"/>
    </row>
    <row r="121" spans="1:10" ht="22.5" hidden="1" customHeight="1" x14ac:dyDescent="0.25">
      <c r="A121" s="211"/>
      <c r="B121" s="158"/>
      <c r="C121" s="191"/>
      <c r="D121" s="220" t="s">
        <v>275</v>
      </c>
      <c r="E121" s="198"/>
      <c r="F121" s="247"/>
      <c r="G121" s="221"/>
      <c r="H121" s="222"/>
      <c r="I121" s="223"/>
      <c r="J121" s="299"/>
    </row>
    <row r="122" spans="1:10" ht="22.5" hidden="1" customHeight="1" x14ac:dyDescent="0.25">
      <c r="A122" s="211" t="s">
        <v>539</v>
      </c>
      <c r="B122" s="191">
        <v>4800412</v>
      </c>
      <c r="C122" s="191" t="s">
        <v>14</v>
      </c>
      <c r="D122" s="197" t="str">
        <f>VLOOKUP(B122,'CPU serviços'!B:G,3,0)</f>
        <v xml:space="preserve">Raspagem e limpeza de terreno plano </v>
      </c>
      <c r="E122" s="198" t="str">
        <f>VLOOKUP(B122,'CPU serviços'!B:G,4,0)</f>
        <v>m²</v>
      </c>
      <c r="F122" s="247">
        <f>'MEMORIA DE CALCULO'!G131</f>
        <v>36</v>
      </c>
      <c r="G122" s="221">
        <f>VLOOKUP(B122,'CPU serviços'!B:G,5,0)</f>
        <v>4.2</v>
      </c>
      <c r="H122" s="222">
        <f t="shared" si="25"/>
        <v>5.3010372413793103</v>
      </c>
      <c r="I122" s="223">
        <f t="shared" si="26"/>
        <v>190.84</v>
      </c>
      <c r="J122" s="299"/>
    </row>
    <row r="123" spans="1:10" ht="30" hidden="1" x14ac:dyDescent="0.25">
      <c r="A123" s="211" t="s">
        <v>540</v>
      </c>
      <c r="B123" s="191">
        <v>98529</v>
      </c>
      <c r="C123" s="191" t="s">
        <v>10</v>
      </c>
      <c r="D123" s="197" t="str">
        <f>VLOOKUP(B123,'CPU serviços'!B:G,3,0)</f>
        <v>CORTE RASO E RECORTE DE ÁRVORE COM DIÂMETRO DE TRONCO MAIOR OU IGUAL A 0,20 M E MENOR QUE 0,40 M.AF_05/2018</v>
      </c>
      <c r="E123" s="198" t="str">
        <f>VLOOKUP(B123,'CPU serviços'!B:G,4,0)</f>
        <v>UN</v>
      </c>
      <c r="F123" s="247">
        <v>4</v>
      </c>
      <c r="G123" s="221">
        <f>VLOOKUP(B123,'CPU serviços'!B:G,5,0)</f>
        <v>62.43</v>
      </c>
      <c r="H123" s="222">
        <f t="shared" si="25"/>
        <v>78.796132137931039</v>
      </c>
      <c r="I123" s="223">
        <f t="shared" si="26"/>
        <v>315.18</v>
      </c>
      <c r="J123" s="299"/>
    </row>
    <row r="124" spans="1:10" ht="22.5" customHeight="1" x14ac:dyDescent="0.25">
      <c r="A124" s="272" t="s">
        <v>505</v>
      </c>
      <c r="B124" s="268"/>
      <c r="C124" s="294"/>
      <c r="D124" s="268" t="s">
        <v>389</v>
      </c>
      <c r="E124" s="268"/>
      <c r="F124" s="269"/>
      <c r="G124" s="438" t="s">
        <v>649</v>
      </c>
      <c r="H124" s="439"/>
      <c r="I124" s="357">
        <f>SUM(I126:I127)</f>
        <v>679.88</v>
      </c>
      <c r="J124" s="299"/>
    </row>
    <row r="125" spans="1:10" ht="22.5" hidden="1" customHeight="1" x14ac:dyDescent="0.25">
      <c r="A125" s="211"/>
      <c r="B125" s="220"/>
      <c r="C125" s="191"/>
      <c r="D125" s="220" t="s">
        <v>270</v>
      </c>
      <c r="E125" s="220"/>
      <c r="F125" s="247"/>
      <c r="G125" s="220"/>
      <c r="H125" s="220"/>
      <c r="I125" s="232"/>
      <c r="J125" s="299"/>
    </row>
    <row r="126" spans="1:10" ht="22.5" hidden="1" customHeight="1" x14ac:dyDescent="0.25">
      <c r="A126" s="211" t="s">
        <v>535</v>
      </c>
      <c r="B126" s="191">
        <v>4800412</v>
      </c>
      <c r="C126" s="191" t="s">
        <v>14</v>
      </c>
      <c r="D126" s="197" t="str">
        <f>VLOOKUP(B126,'CPU serviços'!B:G,3,0)</f>
        <v xml:space="preserve">Raspagem e limpeza de terreno plano </v>
      </c>
      <c r="E126" s="198" t="str">
        <f>VLOOKUP(B126,'CPU serviços'!B:G,4,0)</f>
        <v>m²</v>
      </c>
      <c r="F126" s="247">
        <f>'MEMORIA DE CALCULO'!G135</f>
        <v>15.75</v>
      </c>
      <c r="G126" s="221">
        <f>VLOOKUP(B126,'CPU serviços'!B:G,5,0)</f>
        <v>4.2</v>
      </c>
      <c r="H126" s="222">
        <f t="shared" ref="H126:H127" si="27">((G126*$I$7)+G126)</f>
        <v>5.3010372413793103</v>
      </c>
      <c r="I126" s="223">
        <f t="shared" ref="I126:I127" si="28">ROUND(H126*F126,2)</f>
        <v>83.49</v>
      </c>
      <c r="J126" s="299"/>
    </row>
    <row r="127" spans="1:10" ht="30" hidden="1" x14ac:dyDescent="0.25">
      <c r="A127" s="211" t="s">
        <v>536</v>
      </c>
      <c r="B127" s="191">
        <v>2009619</v>
      </c>
      <c r="C127" s="191" t="s">
        <v>14</v>
      </c>
      <c r="D127" s="197" t="str">
        <f>VLOOKUP(B127,'CPU serviços'!B:G,3,0)</f>
        <v xml:space="preserve">Alvenaria de blocos de concreto 19 x 19 x 39 cm com espessura de 20 cm - areia comercial </v>
      </c>
      <c r="E127" s="198" t="str">
        <f>VLOOKUP(B127,'CPU serviços'!B:G,4,0)</f>
        <v>m²</v>
      </c>
      <c r="F127" s="247">
        <f>'MEMORIA DE CALCULO'!G137</f>
        <v>4</v>
      </c>
      <c r="G127" s="221">
        <f>VLOOKUP(B127,'CPU serviços'!B:G,5,0)</f>
        <v>118.13</v>
      </c>
      <c r="H127" s="222">
        <f t="shared" si="27"/>
        <v>149.09798317241379</v>
      </c>
      <c r="I127" s="223">
        <f t="shared" si="28"/>
        <v>596.39</v>
      </c>
      <c r="J127" s="299"/>
    </row>
    <row r="128" spans="1:10" ht="22.5" customHeight="1" x14ac:dyDescent="0.25">
      <c r="A128" s="272" t="s">
        <v>506</v>
      </c>
      <c r="B128" s="268"/>
      <c r="C128" s="294"/>
      <c r="D128" s="268" t="s">
        <v>398</v>
      </c>
      <c r="E128" s="268"/>
      <c r="F128" s="269"/>
      <c r="G128" s="438" t="s">
        <v>649</v>
      </c>
      <c r="H128" s="439"/>
      <c r="I128" s="357">
        <f>SUM(I130:I141)</f>
        <v>4356.33</v>
      </c>
      <c r="J128" s="299"/>
    </row>
    <row r="129" spans="1:10" ht="22.5" hidden="1" customHeight="1" x14ac:dyDescent="0.25">
      <c r="A129" s="211"/>
      <c r="B129" s="220"/>
      <c r="C129" s="191"/>
      <c r="D129" s="220" t="s">
        <v>270</v>
      </c>
      <c r="E129" s="220"/>
      <c r="F129" s="247"/>
      <c r="G129" s="220"/>
      <c r="H129" s="220"/>
      <c r="I129" s="232"/>
      <c r="J129" s="299"/>
    </row>
    <row r="130" spans="1:10" ht="22.5" hidden="1" customHeight="1" x14ac:dyDescent="0.25">
      <c r="A130" s="211" t="s">
        <v>525</v>
      </c>
      <c r="B130" s="191">
        <v>4016008</v>
      </c>
      <c r="C130" s="191" t="s">
        <v>14</v>
      </c>
      <c r="D130" s="197" t="str">
        <f>VLOOKUP(B130,'CPU serviços'!B:G,3,0)</f>
        <v>Escavação e carga de material de jazida com trator de 127 kW e carregadeira de 3,4 m³</v>
      </c>
      <c r="E130" s="198" t="str">
        <f>VLOOKUP(B130,'CPU serviços'!B:G,4,0)</f>
        <v>m³</v>
      </c>
      <c r="F130" s="247">
        <f>'MEMORIA DE CALCULO'!G144</f>
        <v>13.2</v>
      </c>
      <c r="G130" s="221">
        <f>VLOOKUP(B130,'CPU serviços'!B:G,5,0)</f>
        <v>3.72</v>
      </c>
      <c r="H130" s="222">
        <f t="shared" ref="H130:H139" si="29">((G130*$I$7)+G130)</f>
        <v>4.6952044137931033</v>
      </c>
      <c r="I130" s="223">
        <f t="shared" ref="I130:I139" si="30">ROUND(H130*F130,2)</f>
        <v>61.98</v>
      </c>
      <c r="J130" s="299"/>
    </row>
    <row r="131" spans="1:10" ht="22.5" hidden="1" customHeight="1" x14ac:dyDescent="0.25">
      <c r="A131" s="211" t="s">
        <v>526</v>
      </c>
      <c r="B131" s="191">
        <v>5914359</v>
      </c>
      <c r="C131" s="191" t="s">
        <v>14</v>
      </c>
      <c r="D131" s="197" t="str">
        <f>VLOOKUP(B131,'CPU serviços'!B:G,3,0)</f>
        <v>Transporte com caminhão basculante de 10 m³ - rodovia em leito natural</v>
      </c>
      <c r="E131" s="198" t="str">
        <f>VLOOKUP(B131,'CPU serviços'!B:G,4,0)</f>
        <v>tkm</v>
      </c>
      <c r="F131" s="247">
        <f>F130*1.6*1</f>
        <v>21.12</v>
      </c>
      <c r="G131" s="221">
        <f>VLOOKUP(B131,'CPU serviços'!B:G,5,0)</f>
        <v>1.2</v>
      </c>
      <c r="H131" s="222">
        <f t="shared" si="29"/>
        <v>1.5145820689655172</v>
      </c>
      <c r="I131" s="223">
        <f t="shared" si="30"/>
        <v>31.99</v>
      </c>
      <c r="J131" s="299"/>
    </row>
    <row r="132" spans="1:10" ht="24.75" hidden="1" customHeight="1" x14ac:dyDescent="0.25">
      <c r="A132" s="211" t="s">
        <v>527</v>
      </c>
      <c r="B132" s="274">
        <v>4915774</v>
      </c>
      <c r="C132" s="191" t="s">
        <v>14</v>
      </c>
      <c r="D132" s="197" t="str">
        <f>VLOOKUP(B132,'CPU serviços'!B:G,3,0)</f>
        <v>Recomposição de erosão em corte ou aterro com material de jazida</v>
      </c>
      <c r="E132" s="198" t="str">
        <f>VLOOKUP(B132,'CPU serviços'!B:G,4,0)</f>
        <v>m³</v>
      </c>
      <c r="F132" s="247">
        <f>'MEMORIA DE CALCULO'!G144</f>
        <v>13.2</v>
      </c>
      <c r="G132" s="221">
        <f>VLOOKUP(B132,'CPU serviços'!B:G,5,0)</f>
        <v>23.08</v>
      </c>
      <c r="H132" s="222">
        <f t="shared" si="29"/>
        <v>29.130461793103443</v>
      </c>
      <c r="I132" s="223">
        <f t="shared" si="30"/>
        <v>384.52</v>
      </c>
      <c r="J132" s="299"/>
    </row>
    <row r="133" spans="1:10" ht="30" hidden="1" x14ac:dyDescent="0.25">
      <c r="A133" s="211" t="s">
        <v>528</v>
      </c>
      <c r="B133" s="274">
        <v>1505878</v>
      </c>
      <c r="C133" s="191" t="s">
        <v>14</v>
      </c>
      <c r="D133" s="197" t="str">
        <f>VLOOKUP(B133,'CPU serviços'!B:G,3,0)</f>
        <v>Enrocamento de pedra arrumada manualmente - pedra de mão produzida - confecção e assentamento</v>
      </c>
      <c r="E133" s="198" t="str">
        <f>VLOOKUP(B133,'CPU serviços'!B:G,4,0)</f>
        <v>m³</v>
      </c>
      <c r="F133" s="247">
        <f>'MEMORIA DE CALCULO'!G145</f>
        <v>4.4000000000000004</v>
      </c>
      <c r="G133" s="221">
        <f>VLOOKUP(B133,'CPU serviços'!B:G,5,0)</f>
        <v>170.62</v>
      </c>
      <c r="H133" s="222">
        <f t="shared" si="29"/>
        <v>215.3483271724138</v>
      </c>
      <c r="I133" s="223">
        <f t="shared" si="30"/>
        <v>947.53</v>
      </c>
      <c r="J133" s="299"/>
    </row>
    <row r="134" spans="1:10" ht="22.5" hidden="1" customHeight="1" x14ac:dyDescent="0.25">
      <c r="A134" s="211" t="s">
        <v>529</v>
      </c>
      <c r="B134" s="191">
        <v>5914359</v>
      </c>
      <c r="C134" s="191" t="s">
        <v>14</v>
      </c>
      <c r="D134" s="197" t="str">
        <f>VLOOKUP(B134,'CPU serviços'!B:G,3,0)</f>
        <v>Transporte com caminhão basculante de 10 m³ - rodovia em leito natural</v>
      </c>
      <c r="E134" s="198" t="str">
        <f>VLOOKUP(B134,'CPU serviços'!B:G,4,0)</f>
        <v>tkm</v>
      </c>
      <c r="F134" s="247">
        <f>F133*1.8*9.5</f>
        <v>75.240000000000009</v>
      </c>
      <c r="G134" s="221">
        <f>VLOOKUP(B134,'CPU serviços'!B:G,5,0)</f>
        <v>1.2</v>
      </c>
      <c r="H134" s="222">
        <f t="shared" si="29"/>
        <v>1.5145820689655172</v>
      </c>
      <c r="I134" s="223">
        <f t="shared" si="30"/>
        <v>113.96</v>
      </c>
      <c r="J134" s="299"/>
    </row>
    <row r="135" spans="1:10" ht="22.5" hidden="1" customHeight="1" x14ac:dyDescent="0.25">
      <c r="A135" s="211" t="s">
        <v>530</v>
      </c>
      <c r="B135" s="273">
        <v>1600989</v>
      </c>
      <c r="C135" s="191" t="s">
        <v>14</v>
      </c>
      <c r="D135" s="197" t="str">
        <f>VLOOKUP(B135,'CPU serviços'!B:G,3,0)</f>
        <v>Demolição de concreto simples com martelete</v>
      </c>
      <c r="E135" s="198" t="str">
        <f>VLOOKUP(B135,'CPU serviços'!B:G,4,0)</f>
        <v>m³</v>
      </c>
      <c r="F135" s="247">
        <f>'MEMORIA DE CALCULO'!G148</f>
        <v>1.75</v>
      </c>
      <c r="G135" s="221">
        <f>VLOOKUP(B135,'CPU serviços'!B:G,5,0)</f>
        <v>403.66</v>
      </c>
      <c r="H135" s="222">
        <f t="shared" si="29"/>
        <v>509.48016496551725</v>
      </c>
      <c r="I135" s="223">
        <f t="shared" si="30"/>
        <v>891.59</v>
      </c>
      <c r="J135" s="299"/>
    </row>
    <row r="136" spans="1:10" ht="22.5" hidden="1" customHeight="1" x14ac:dyDescent="0.25">
      <c r="A136" s="211" t="s">
        <v>531</v>
      </c>
      <c r="B136" s="274">
        <v>1106057</v>
      </c>
      <c r="C136" s="191" t="s">
        <v>14</v>
      </c>
      <c r="D136" s="197" t="str">
        <f>VLOOKUP(B136,'CPU serviços'!B:G,3,0)</f>
        <v>Concreto magro - confecção em betoneira e lançamento manual - areia e brita comerciais</v>
      </c>
      <c r="E136" s="198" t="str">
        <f>VLOOKUP(B136,'CPU serviços'!B:G,4,0)</f>
        <v>m³</v>
      </c>
      <c r="F136" s="247">
        <f>'MEMORIA DE CALCULO'!G147</f>
        <v>1.1900000000000002</v>
      </c>
      <c r="G136" s="221">
        <f>VLOOKUP(B136,'CPU serviços'!B:G,5,0)</f>
        <v>477.58</v>
      </c>
      <c r="H136" s="222">
        <f t="shared" si="29"/>
        <v>602.77842041379301</v>
      </c>
      <c r="I136" s="223">
        <f t="shared" si="30"/>
        <v>717.31</v>
      </c>
      <c r="J136" s="299"/>
    </row>
    <row r="137" spans="1:10" ht="30" hidden="1" x14ac:dyDescent="0.25">
      <c r="A137" s="211" t="s">
        <v>532</v>
      </c>
      <c r="B137" s="274">
        <v>1106165</v>
      </c>
      <c r="C137" s="191" t="s">
        <v>14</v>
      </c>
      <c r="D137" s="197" t="str">
        <f>VLOOKUP(B137,'CPU serviços'!B:G,3,0)</f>
        <v>Concreto ciclópico fck = 20 MPa - confecção em betoneira e lançamento manual - areia, brita e pedra de mão comerciais</v>
      </c>
      <c r="E137" s="198" t="str">
        <f>VLOOKUP(B137,'CPU serviços'!B:G,4,0)</f>
        <v>m³</v>
      </c>
      <c r="F137" s="247">
        <f>'MEMORIA DE CALCULO'!G149</f>
        <v>1.75</v>
      </c>
      <c r="G137" s="221">
        <f>VLOOKUP(B137,'CPU serviços'!B:G,5,0)</f>
        <v>419.45</v>
      </c>
      <c r="H137" s="222">
        <f t="shared" si="29"/>
        <v>529.40954068965516</v>
      </c>
      <c r="I137" s="223">
        <f t="shared" si="30"/>
        <v>926.47</v>
      </c>
      <c r="J137" s="299"/>
    </row>
    <row r="138" spans="1:10" ht="22.5" hidden="1" customHeight="1" x14ac:dyDescent="0.25">
      <c r="A138" s="211" t="s">
        <v>533</v>
      </c>
      <c r="B138" s="191">
        <v>5914359</v>
      </c>
      <c r="C138" s="191" t="s">
        <v>14</v>
      </c>
      <c r="D138" s="197" t="str">
        <f>VLOOKUP(B138,'CPU serviços'!B:G,3,0)</f>
        <v>Transporte com caminhão basculante de 10 m³ - rodovia em leito natural</v>
      </c>
      <c r="E138" s="198" t="str">
        <f>VLOOKUP(B138,'CPU serviços'!B:G,4,0)</f>
        <v>tkm</v>
      </c>
      <c r="F138" s="247">
        <f>F137*2.2*2</f>
        <v>7.7000000000000011</v>
      </c>
      <c r="G138" s="221">
        <f>VLOOKUP(B138,'CPU serviços'!B:G,5,0)</f>
        <v>1.2</v>
      </c>
      <c r="H138" s="222">
        <f t="shared" si="29"/>
        <v>1.5145820689655172</v>
      </c>
      <c r="I138" s="223">
        <f t="shared" si="30"/>
        <v>11.66</v>
      </c>
      <c r="J138" s="299"/>
    </row>
    <row r="139" spans="1:10" ht="45" hidden="1" x14ac:dyDescent="0.2">
      <c r="A139" s="211" t="s">
        <v>534</v>
      </c>
      <c r="B139" s="191">
        <v>97086</v>
      </c>
      <c r="C139" s="209" t="s">
        <v>10</v>
      </c>
      <c r="D139" s="197" t="str">
        <f>VLOOKUP(B139,'CPU serviços'!B:G,3,0)</f>
        <v>FABRICAÇÃO, MONTAGEM E DESMONTAGEM DE FORMA PARA RADIER, PISO DE CONCRETO OU LAJE SOBRE SOLO, EM MADEIRA SERRADA, 4 UTILIZAÇÕES. AF_09/2021</v>
      </c>
      <c r="E139" s="198" t="str">
        <f>VLOOKUP(B139,'CPU serviços'!B:G,4,0)</f>
        <v>m²</v>
      </c>
      <c r="F139" s="247">
        <f>'MEMORIA DE CALCULO'!G151+'MEMORIA DE CALCULO'!G154</f>
        <v>1.3200000000000003</v>
      </c>
      <c r="G139" s="221">
        <f>VLOOKUP(B139,'CPU serviços'!B:G,5,0)</f>
        <v>135.6</v>
      </c>
      <c r="H139" s="222">
        <f t="shared" si="29"/>
        <v>171.14777379310343</v>
      </c>
      <c r="I139" s="223">
        <f t="shared" si="30"/>
        <v>225.92</v>
      </c>
      <c r="J139" s="299"/>
    </row>
    <row r="140" spans="1:10" ht="22.5" hidden="1" customHeight="1" x14ac:dyDescent="0.25">
      <c r="A140" s="211"/>
      <c r="B140" s="191"/>
      <c r="C140" s="191"/>
      <c r="D140" s="220" t="s">
        <v>275</v>
      </c>
      <c r="E140" s="220"/>
      <c r="F140" s="247"/>
      <c r="G140" s="220"/>
      <c r="H140" s="220"/>
      <c r="I140" s="232"/>
      <c r="J140" s="299"/>
    </row>
    <row r="141" spans="1:10" ht="22.5" hidden="1" customHeight="1" x14ac:dyDescent="0.25">
      <c r="A141" s="211" t="s">
        <v>647</v>
      </c>
      <c r="B141" s="191">
        <v>1106057</v>
      </c>
      <c r="C141" s="191" t="s">
        <v>14</v>
      </c>
      <c r="D141" s="197" t="str">
        <f>VLOOKUP(B141,'CPU serviços'!B:G,3,0)</f>
        <v>Concreto magro - confecção em betoneira e lançamento manual - areia e brita comerciais</v>
      </c>
      <c r="E141" s="198" t="str">
        <f>VLOOKUP(B141,'CPU serviços'!B:G,4,0)</f>
        <v>m³</v>
      </c>
      <c r="F141" s="247">
        <f>'MEMORIA DE CALCULO'!G153</f>
        <v>7.1999999999999995E-2</v>
      </c>
      <c r="G141" s="221">
        <f>VLOOKUP(B141,'CPU serviços'!B:G,5,0)</f>
        <v>477.58</v>
      </c>
      <c r="H141" s="222">
        <f t="shared" ref="H141" si="31">((G141*$I$7)+G141)</f>
        <v>602.77842041379301</v>
      </c>
      <c r="I141" s="223">
        <f t="shared" ref="I141" si="32">ROUND(H141*F141,2)</f>
        <v>43.4</v>
      </c>
      <c r="J141" s="299"/>
    </row>
    <row r="142" spans="1:10" ht="22.5" customHeight="1" x14ac:dyDescent="0.25">
      <c r="A142" s="272" t="s">
        <v>507</v>
      </c>
      <c r="B142" s="268"/>
      <c r="C142" s="294"/>
      <c r="D142" s="268" t="s">
        <v>417</v>
      </c>
      <c r="E142" s="268"/>
      <c r="F142" s="269"/>
      <c r="G142" s="438" t="s">
        <v>649</v>
      </c>
      <c r="H142" s="439"/>
      <c r="I142" s="357">
        <f>SUM(I144:I150)</f>
        <v>2420.29</v>
      </c>
      <c r="J142" s="299"/>
    </row>
    <row r="143" spans="1:10" ht="22.5" hidden="1" customHeight="1" x14ac:dyDescent="0.25">
      <c r="A143" s="211"/>
      <c r="B143" s="220"/>
      <c r="C143" s="191"/>
      <c r="D143" s="220" t="s">
        <v>270</v>
      </c>
      <c r="E143" s="220"/>
      <c r="F143" s="247"/>
      <c r="G143" s="220"/>
      <c r="H143" s="220"/>
      <c r="I143" s="232"/>
      <c r="J143" s="299"/>
    </row>
    <row r="144" spans="1:10" ht="30" hidden="1" x14ac:dyDescent="0.25">
      <c r="A144" s="211" t="s">
        <v>520</v>
      </c>
      <c r="B144" s="191">
        <v>1106165</v>
      </c>
      <c r="C144" s="191" t="s">
        <v>14</v>
      </c>
      <c r="D144" s="197" t="str">
        <f>VLOOKUP(B144,'CPU serviços'!B:G,3,0)</f>
        <v>Concreto ciclópico fck = 20 MPa - confecção em betoneira e lançamento manual - areia, brita e pedra de mão comerciais</v>
      </c>
      <c r="E144" s="198" t="str">
        <f>VLOOKUP(B144,'CPU serviços'!B:G,4,0)</f>
        <v>m³</v>
      </c>
      <c r="F144" s="247">
        <f>'MEMORIA DE CALCULO'!G157</f>
        <v>0.73499999999999988</v>
      </c>
      <c r="G144" s="221">
        <f>VLOOKUP(B144,'CPU serviços'!B:G,5,0)</f>
        <v>419.45</v>
      </c>
      <c r="H144" s="222">
        <f t="shared" ref="H144:H150" si="33">((G144*$I$7)+G144)</f>
        <v>529.40954068965516</v>
      </c>
      <c r="I144" s="223">
        <f t="shared" ref="I144:I150" si="34">ROUND(H144*F144,2)</f>
        <v>389.12</v>
      </c>
      <c r="J144" s="299"/>
    </row>
    <row r="145" spans="1:10" ht="22.5" hidden="1" customHeight="1" x14ac:dyDescent="0.25">
      <c r="A145" s="211" t="s">
        <v>522</v>
      </c>
      <c r="B145" s="191">
        <v>1106057</v>
      </c>
      <c r="C145" s="191" t="s">
        <v>14</v>
      </c>
      <c r="D145" s="197" t="str">
        <f>VLOOKUP(B145,'CPU serviços'!B:G,3,0)</f>
        <v>Concreto magro - confecção em betoneira e lançamento manual - areia e brita comerciais</v>
      </c>
      <c r="E145" s="198" t="str">
        <f>VLOOKUP(B145,'CPU serviços'!B:G,4,0)</f>
        <v>m³</v>
      </c>
      <c r="F145" s="247">
        <f>'MEMORIA DE CALCULO'!G158</f>
        <v>1.0799999999999998</v>
      </c>
      <c r="G145" s="221">
        <f>VLOOKUP(B145,'CPU serviços'!B:G,5,0)</f>
        <v>477.58</v>
      </c>
      <c r="H145" s="222">
        <f t="shared" si="33"/>
        <v>602.77842041379301</v>
      </c>
      <c r="I145" s="223">
        <f t="shared" si="34"/>
        <v>651</v>
      </c>
      <c r="J145" s="299"/>
    </row>
    <row r="146" spans="1:10" ht="45" hidden="1" x14ac:dyDescent="0.2">
      <c r="A146" s="211" t="s">
        <v>523</v>
      </c>
      <c r="B146" s="191">
        <v>97086</v>
      </c>
      <c r="C146" s="209" t="s">
        <v>10</v>
      </c>
      <c r="D146" s="197" t="str">
        <f>VLOOKUP(B146,'CPU serviços'!B:G,3,0)</f>
        <v>FABRICAÇÃO, MONTAGEM E DESMONTAGEM DE FORMA PARA RADIER, PISO DE CONCRETO OU LAJE SOBRE SOLO, EM MADEIRA SERRADA, 4 UTILIZAÇÕES. AF_09/2021</v>
      </c>
      <c r="E146" s="198" t="str">
        <f>VLOOKUP(B146,'CPU serviços'!B:G,4,0)</f>
        <v>m²</v>
      </c>
      <c r="F146" s="247">
        <f>'MEMORIA DE CALCULO'!G161</f>
        <v>3.5999999999999996</v>
      </c>
      <c r="G146" s="221">
        <f>VLOOKUP(B146,'CPU serviços'!B:G,5,0)</f>
        <v>135.6</v>
      </c>
      <c r="H146" s="222">
        <f t="shared" si="33"/>
        <v>171.14777379310343</v>
      </c>
      <c r="I146" s="223">
        <f t="shared" si="34"/>
        <v>616.13</v>
      </c>
      <c r="J146" s="299"/>
    </row>
    <row r="147" spans="1:10" ht="22.5" hidden="1" customHeight="1" x14ac:dyDescent="0.25">
      <c r="A147" s="211" t="s">
        <v>521</v>
      </c>
      <c r="B147" s="191">
        <v>4114</v>
      </c>
      <c r="C147" s="191" t="s">
        <v>460</v>
      </c>
      <c r="D147" s="197" t="str">
        <f>VLOOKUP(B147,'CPU serviços'!B:G,3,0)</f>
        <v xml:space="preserve">TRATAMENTO DE TRINCAS (2,5cm) </v>
      </c>
      <c r="E147" s="198" t="str">
        <f>VLOOKUP(B147,'CPU serviços'!B:G,4,0)</f>
        <v>m</v>
      </c>
      <c r="F147" s="247">
        <f>'MEMORIA DE CALCULO'!G159</f>
        <v>20</v>
      </c>
      <c r="G147" s="221">
        <f>VLOOKUP(B147,'CPU serviços'!B:G,5,0)</f>
        <v>14.66</v>
      </c>
      <c r="H147" s="222">
        <f t="shared" si="33"/>
        <v>18.50314427586207</v>
      </c>
      <c r="I147" s="223">
        <f t="shared" si="34"/>
        <v>370.06</v>
      </c>
      <c r="J147" s="299"/>
    </row>
    <row r="148" spans="1:10" ht="30" hidden="1" x14ac:dyDescent="0.25">
      <c r="A148" s="211" t="s">
        <v>524</v>
      </c>
      <c r="B148" s="191">
        <v>98529</v>
      </c>
      <c r="C148" s="191" t="s">
        <v>10</v>
      </c>
      <c r="D148" s="197" t="str">
        <f>VLOOKUP(B148,'CPU serviços'!B:G,3,0)</f>
        <v>CORTE RASO E RECORTE DE ÁRVORE COM DIÂMETRO DE TRONCO MAIOR OU IGUAL A 0,20 M E MENOR QUE 0,40 M.AF_05/2018</v>
      </c>
      <c r="E148" s="198" t="str">
        <f>VLOOKUP(B148,'CPU serviços'!B:G,4,0)</f>
        <v>UN</v>
      </c>
      <c r="F148" s="247">
        <f>'MEMORIA DE CALCULO'!G160</f>
        <v>3</v>
      </c>
      <c r="G148" s="221">
        <f>VLOOKUP(B148,'CPU serviços'!B:G,5,0)</f>
        <v>62.43</v>
      </c>
      <c r="H148" s="222">
        <f t="shared" si="33"/>
        <v>78.796132137931039</v>
      </c>
      <c r="I148" s="223">
        <f t="shared" si="34"/>
        <v>236.39</v>
      </c>
      <c r="J148" s="299"/>
    </row>
    <row r="149" spans="1:10" ht="22.5" hidden="1" customHeight="1" x14ac:dyDescent="0.25">
      <c r="A149" s="211"/>
      <c r="B149" s="220"/>
      <c r="C149" s="191"/>
      <c r="D149" s="220" t="s">
        <v>275</v>
      </c>
      <c r="E149" s="198"/>
      <c r="F149" s="247"/>
      <c r="G149" s="221"/>
      <c r="H149" s="222"/>
      <c r="I149" s="223"/>
      <c r="J149" s="299"/>
    </row>
    <row r="150" spans="1:10" ht="30" hidden="1" x14ac:dyDescent="0.25">
      <c r="A150" s="211" t="s">
        <v>524</v>
      </c>
      <c r="B150" s="191">
        <v>98529</v>
      </c>
      <c r="C150" s="191" t="s">
        <v>10</v>
      </c>
      <c r="D150" s="197" t="str">
        <f>VLOOKUP(B150,'CPU serviços'!B:G,3,0)</f>
        <v>CORTE RASO E RECORTE DE ÁRVORE COM DIÂMETRO DE TRONCO MAIOR OU IGUAL A 0,20 M E MENOR QUE 0,40 M.AF_05/2018</v>
      </c>
      <c r="E150" s="198" t="str">
        <f>VLOOKUP(B150,'CPU serviços'!B:G,4,0)</f>
        <v>UN</v>
      </c>
      <c r="F150" s="247">
        <f>'MEMORIA DE CALCULO'!G163</f>
        <v>2</v>
      </c>
      <c r="G150" s="221">
        <f>VLOOKUP(B150,'CPU serviços'!B:G,5,0)</f>
        <v>62.43</v>
      </c>
      <c r="H150" s="222">
        <f t="shared" si="33"/>
        <v>78.796132137931039</v>
      </c>
      <c r="I150" s="223">
        <f t="shared" si="34"/>
        <v>157.59</v>
      </c>
      <c r="J150" s="299"/>
    </row>
    <row r="151" spans="1:10" ht="22.5" customHeight="1" x14ac:dyDescent="0.25">
      <c r="A151" s="272" t="s">
        <v>508</v>
      </c>
      <c r="B151" s="268"/>
      <c r="C151" s="294"/>
      <c r="D151" s="268" t="s">
        <v>434</v>
      </c>
      <c r="E151" s="268"/>
      <c r="F151" s="269"/>
      <c r="G151" s="438" t="s">
        <v>649</v>
      </c>
      <c r="H151" s="439"/>
      <c r="I151" s="357">
        <f>SUM(I153:I158)</f>
        <v>891.32999999999993</v>
      </c>
      <c r="J151" s="299"/>
    </row>
    <row r="152" spans="1:10" ht="22.5" hidden="1" customHeight="1" x14ac:dyDescent="0.25">
      <c r="A152" s="211"/>
      <c r="B152" s="220"/>
      <c r="C152" s="191"/>
      <c r="D152" s="220" t="s">
        <v>270</v>
      </c>
      <c r="E152" s="220"/>
      <c r="F152" s="247"/>
      <c r="G152" s="220"/>
      <c r="H152" s="220"/>
      <c r="I152" s="232"/>
      <c r="J152" s="299"/>
    </row>
    <row r="153" spans="1:10" ht="30" hidden="1" x14ac:dyDescent="0.25">
      <c r="A153" s="211" t="s">
        <v>515</v>
      </c>
      <c r="B153" s="274">
        <v>1106165</v>
      </c>
      <c r="C153" s="191" t="s">
        <v>14</v>
      </c>
      <c r="D153" s="197" t="str">
        <f>VLOOKUP(B153,'CPU serviços'!B:G,3,0)</f>
        <v>Concreto ciclópico fck = 20 MPa - confecção em betoneira e lançamento manual - areia, brita e pedra de mão comerciais</v>
      </c>
      <c r="E153" s="198" t="str">
        <f>VLOOKUP(B153,'CPU serviços'!B:G,4,0)</f>
        <v>m³</v>
      </c>
      <c r="F153" s="247">
        <f>'MEMORIA DE CALCULO'!G167</f>
        <v>0.12800000000000003</v>
      </c>
      <c r="G153" s="221">
        <f>VLOOKUP(B153,'CPU serviços'!B:G,5,0)</f>
        <v>419.45</v>
      </c>
      <c r="H153" s="222">
        <f t="shared" ref="H153:H158" si="35">((G153*$I$7)+G153)</f>
        <v>529.40954068965516</v>
      </c>
      <c r="I153" s="223">
        <f t="shared" ref="I153:I158" si="36">ROUND(H153*F153,2)</f>
        <v>67.760000000000005</v>
      </c>
      <c r="J153" s="299"/>
    </row>
    <row r="154" spans="1:10" ht="30" hidden="1" x14ac:dyDescent="0.25">
      <c r="A154" s="211" t="s">
        <v>516</v>
      </c>
      <c r="B154" s="191">
        <v>98529</v>
      </c>
      <c r="C154" s="191" t="s">
        <v>10</v>
      </c>
      <c r="D154" s="197" t="str">
        <f>VLOOKUP(B154,'CPU serviços'!B:G,3,0)</f>
        <v>CORTE RASO E RECORTE DE ÁRVORE COM DIÂMETRO DE TRONCO MAIOR OU IGUAL A 0,20 M E MENOR QUE 0,40 M.AF_05/2018</v>
      </c>
      <c r="E154" s="198" t="str">
        <f>VLOOKUP(B154,'CPU serviços'!B:G,4,0)</f>
        <v>UN</v>
      </c>
      <c r="F154" s="247">
        <f>'MEMORIA DE CALCULO'!G160</f>
        <v>3</v>
      </c>
      <c r="G154" s="221">
        <f>VLOOKUP(B154,'CPU serviços'!B:G,5,0)</f>
        <v>62.43</v>
      </c>
      <c r="H154" s="222">
        <f t="shared" si="35"/>
        <v>78.796132137931039</v>
      </c>
      <c r="I154" s="223">
        <f t="shared" si="36"/>
        <v>236.39</v>
      </c>
      <c r="J154" s="299"/>
    </row>
    <row r="155" spans="1:10" ht="22.5" hidden="1" customHeight="1" x14ac:dyDescent="0.25">
      <c r="A155" s="211"/>
      <c r="B155" s="158"/>
      <c r="C155" s="191"/>
      <c r="D155" s="220" t="s">
        <v>275</v>
      </c>
      <c r="E155" s="198"/>
      <c r="F155" s="247"/>
      <c r="G155" s="221"/>
      <c r="H155" s="222"/>
      <c r="I155" s="223"/>
      <c r="J155" s="299"/>
    </row>
    <row r="156" spans="1:10" ht="32.25" hidden="1" customHeight="1" x14ac:dyDescent="0.25">
      <c r="A156" s="211" t="s">
        <v>517</v>
      </c>
      <c r="B156" s="191">
        <v>98529</v>
      </c>
      <c r="C156" s="191" t="s">
        <v>10</v>
      </c>
      <c r="D156" s="197" t="str">
        <f>VLOOKUP(B156,'CPU serviços'!B:G,3,0)</f>
        <v>CORTE RASO E RECORTE DE ÁRVORE COM DIÂMETRO DE TRONCO MAIOR OU IGUAL A 0,20 M E MENOR QUE 0,40 M.AF_05/2018</v>
      </c>
      <c r="E156" s="198" t="str">
        <f>VLOOKUP(B156,'CPU serviços'!B:G,4,0)</f>
        <v>UN</v>
      </c>
      <c r="F156" s="247">
        <f>'MEMORIA DE CALCULO'!G173</f>
        <v>3</v>
      </c>
      <c r="G156" s="221">
        <f>VLOOKUP(B156,'CPU serviços'!B:G,5,0)</f>
        <v>62.43</v>
      </c>
      <c r="H156" s="222">
        <f t="shared" si="35"/>
        <v>78.796132137931039</v>
      </c>
      <c r="I156" s="223">
        <f t="shared" si="36"/>
        <v>236.39</v>
      </c>
      <c r="J156" s="299"/>
    </row>
    <row r="157" spans="1:10" ht="29.25" hidden="1" customHeight="1" x14ac:dyDescent="0.25">
      <c r="A157" s="211" t="s">
        <v>518</v>
      </c>
      <c r="B157" s="191">
        <v>4114</v>
      </c>
      <c r="C157" s="191" t="s">
        <v>460</v>
      </c>
      <c r="D157" s="197" t="str">
        <f>VLOOKUP(B157,'CPU serviços'!B:G,3,0)</f>
        <v xml:space="preserve">TRATAMENTO DE TRINCAS (2,5cm) </v>
      </c>
      <c r="E157" s="198" t="str">
        <f>VLOOKUP(B157,'CPU serviços'!B:G,4,0)</f>
        <v>m</v>
      </c>
      <c r="F157" s="247">
        <f>'MEMORIA DE CALCULO'!G171</f>
        <v>15</v>
      </c>
      <c r="G157" s="221">
        <f>VLOOKUP(B157,'CPU serviços'!B:G,5,0)</f>
        <v>14.66</v>
      </c>
      <c r="H157" s="222">
        <f t="shared" si="35"/>
        <v>18.50314427586207</v>
      </c>
      <c r="I157" s="223">
        <f t="shared" si="36"/>
        <v>277.55</v>
      </c>
      <c r="J157" s="299"/>
    </row>
    <row r="158" spans="1:10" ht="29.25" hidden="1" customHeight="1" x14ac:dyDescent="0.25">
      <c r="A158" s="211" t="s">
        <v>519</v>
      </c>
      <c r="B158" s="196">
        <v>1106057</v>
      </c>
      <c r="C158" s="191" t="s">
        <v>14</v>
      </c>
      <c r="D158" s="197" t="str">
        <f>VLOOKUP(B158,'CPU serviços'!B:G,3,0)</f>
        <v>Concreto magro - confecção em betoneira e lançamento manual - areia e brita comerciais</v>
      </c>
      <c r="E158" s="198" t="str">
        <f>VLOOKUP(B158,'CPU serviços'!B:G,4,0)</f>
        <v>m³</v>
      </c>
      <c r="F158" s="247">
        <f>'MEMORIA DE CALCULO'!G172</f>
        <v>0.1215</v>
      </c>
      <c r="G158" s="221">
        <f>VLOOKUP(B158,'CPU serviços'!B:G,5,0)</f>
        <v>477.58</v>
      </c>
      <c r="H158" s="222">
        <f t="shared" si="35"/>
        <v>602.77842041379301</v>
      </c>
      <c r="I158" s="223">
        <f t="shared" si="36"/>
        <v>73.239999999999995</v>
      </c>
      <c r="J158" s="299"/>
    </row>
    <row r="159" spans="1:10" ht="22.5" customHeight="1" x14ac:dyDescent="0.25">
      <c r="A159" s="272" t="s">
        <v>509</v>
      </c>
      <c r="B159" s="268"/>
      <c r="C159" s="294"/>
      <c r="D159" s="268" t="s">
        <v>443</v>
      </c>
      <c r="E159" s="268"/>
      <c r="F159" s="269"/>
      <c r="G159" s="438" t="s">
        <v>649</v>
      </c>
      <c r="H159" s="439"/>
      <c r="I159" s="357">
        <f>SUM(I161:I166)</f>
        <v>1437.71</v>
      </c>
      <c r="J159" s="299"/>
    </row>
    <row r="160" spans="1:10" ht="22.5" hidden="1" customHeight="1" x14ac:dyDescent="0.25">
      <c r="A160" s="211"/>
      <c r="B160" s="220"/>
      <c r="C160" s="191"/>
      <c r="D160" s="220" t="s">
        <v>270</v>
      </c>
      <c r="E160" s="220"/>
      <c r="F160" s="247"/>
      <c r="G160" s="220"/>
      <c r="H160" s="220"/>
      <c r="I160" s="232"/>
      <c r="J160" s="299"/>
    </row>
    <row r="161" spans="1:10" ht="22.5" hidden="1" customHeight="1" x14ac:dyDescent="0.25">
      <c r="A161" s="211" t="s">
        <v>510</v>
      </c>
      <c r="B161" s="191">
        <v>4800412</v>
      </c>
      <c r="C161" s="191" t="s">
        <v>14</v>
      </c>
      <c r="D161" s="197" t="str">
        <f>VLOOKUP(B161,'CPU serviços'!B:G,3,0)</f>
        <v xml:space="preserve">Raspagem e limpeza de terreno plano </v>
      </c>
      <c r="E161" s="198" t="str">
        <f>VLOOKUP(B161,'CPU serviços'!B:G,4,0)</f>
        <v>m²</v>
      </c>
      <c r="F161" s="247">
        <f>'MEMORIA DE CALCULO'!G179</f>
        <v>31.799999999999997</v>
      </c>
      <c r="G161" s="221">
        <f>VLOOKUP(B161,'CPU serviços'!B:G,5,0)</f>
        <v>4.2</v>
      </c>
      <c r="H161" s="222">
        <f t="shared" ref="H161:H166" si="37">((G161*$I$7)+G161)</f>
        <v>5.3010372413793103</v>
      </c>
      <c r="I161" s="223">
        <f t="shared" ref="I161:I166" si="38">ROUND(H161*F161,2)</f>
        <v>168.57</v>
      </c>
      <c r="J161" s="299"/>
    </row>
    <row r="162" spans="1:10" ht="30" hidden="1" x14ac:dyDescent="0.25">
      <c r="A162" s="211" t="s">
        <v>511</v>
      </c>
      <c r="B162" s="191">
        <v>98529</v>
      </c>
      <c r="C162" s="191" t="s">
        <v>10</v>
      </c>
      <c r="D162" s="197" t="str">
        <f>VLOOKUP(B162,'CPU serviços'!B:G,3,0)</f>
        <v>CORTE RASO E RECORTE DE ÁRVORE COM DIÂMETRO DE TRONCO MAIOR OU IGUAL A 0,20 M E MENOR QUE 0,40 M.AF_05/2018</v>
      </c>
      <c r="E162" s="198" t="str">
        <f>VLOOKUP(B162,'CPU serviços'!B:G,4,0)</f>
        <v>UN</v>
      </c>
      <c r="F162" s="247">
        <f>'MEMORIA DE CALCULO'!G180</f>
        <v>4</v>
      </c>
      <c r="G162" s="221">
        <f>VLOOKUP(B162,'CPU serviços'!B:G,5,0)</f>
        <v>62.43</v>
      </c>
      <c r="H162" s="222">
        <f t="shared" si="37"/>
        <v>78.796132137931039</v>
      </c>
      <c r="I162" s="223">
        <f t="shared" si="38"/>
        <v>315.18</v>
      </c>
      <c r="J162" s="299"/>
    </row>
    <row r="163" spans="1:10" ht="30" hidden="1" x14ac:dyDescent="0.25">
      <c r="A163" s="211" t="s">
        <v>512</v>
      </c>
      <c r="B163" s="191">
        <v>1106165</v>
      </c>
      <c r="C163" s="191" t="s">
        <v>14</v>
      </c>
      <c r="D163" s="197" t="str">
        <f>VLOOKUP(B163,'CPU serviços'!B:G,3,0)</f>
        <v>Concreto ciclópico fck = 20 MPa - confecção em betoneira e lançamento manual - areia, brita e pedra de mão comerciais</v>
      </c>
      <c r="E163" s="198" t="str">
        <f>VLOOKUP(B163,'CPU serviços'!B:G,4,0)</f>
        <v>m³</v>
      </c>
      <c r="F163" s="247">
        <f>'MEMORIA DE CALCULO'!G176+'MEMORIA DE CALCULO'!G177</f>
        <v>0.98</v>
      </c>
      <c r="G163" s="221">
        <f>VLOOKUP(B163,'CPU serviços'!B:G,5,0)</f>
        <v>419.45</v>
      </c>
      <c r="H163" s="222">
        <f t="shared" si="37"/>
        <v>529.40954068965516</v>
      </c>
      <c r="I163" s="223">
        <f t="shared" si="38"/>
        <v>518.82000000000005</v>
      </c>
      <c r="J163" s="299"/>
    </row>
    <row r="164" spans="1:10" ht="22.5" hidden="1" customHeight="1" x14ac:dyDescent="0.25">
      <c r="A164" s="211" t="s">
        <v>513</v>
      </c>
      <c r="B164" s="191">
        <v>4114</v>
      </c>
      <c r="C164" s="191" t="s">
        <v>460</v>
      </c>
      <c r="D164" s="197" t="str">
        <f>VLOOKUP(B164,'CPU serviços'!B:G,3,0)</f>
        <v xml:space="preserve">TRATAMENTO DE TRINCAS (2,5cm) </v>
      </c>
      <c r="E164" s="198" t="str">
        <f>VLOOKUP(B164,'CPU serviços'!B:G,4,0)</f>
        <v>m</v>
      </c>
      <c r="F164" s="247">
        <f>'MEMORIA DE CALCULO'!G178</f>
        <v>15</v>
      </c>
      <c r="G164" s="221">
        <f>VLOOKUP(B164,'CPU serviços'!B:G,5,0)</f>
        <v>14.66</v>
      </c>
      <c r="H164" s="222">
        <f t="shared" si="37"/>
        <v>18.50314427586207</v>
      </c>
      <c r="I164" s="223">
        <f t="shared" si="38"/>
        <v>277.55</v>
      </c>
      <c r="J164" s="299"/>
    </row>
    <row r="165" spans="1:10" ht="22.5" hidden="1" customHeight="1" x14ac:dyDescent="0.25">
      <c r="A165" s="211"/>
      <c r="B165" s="158"/>
      <c r="C165" s="191"/>
      <c r="D165" s="220" t="s">
        <v>275</v>
      </c>
      <c r="E165" s="198"/>
      <c r="F165" s="247"/>
      <c r="G165" s="221"/>
      <c r="H165" s="222"/>
      <c r="I165" s="223"/>
      <c r="J165" s="299"/>
    </row>
    <row r="166" spans="1:10" ht="30" hidden="1" x14ac:dyDescent="0.25">
      <c r="A166" s="415" t="s">
        <v>514</v>
      </c>
      <c r="B166" s="372">
        <v>98529</v>
      </c>
      <c r="C166" s="372" t="s">
        <v>10</v>
      </c>
      <c r="D166" s="416" t="str">
        <f>VLOOKUP(B166,'CPU serviços'!B:G,3,0)</f>
        <v>CORTE RASO E RECORTE DE ÁRVORE COM DIÂMETRO DE TRONCO MAIOR OU IGUAL A 0,20 M E MENOR QUE 0,40 M.AF_05/2018</v>
      </c>
      <c r="E166" s="403" t="str">
        <f>VLOOKUP(B166,'CPU serviços'!B:G,4,0)</f>
        <v>UN</v>
      </c>
      <c r="F166" s="382">
        <f>'MEMORIA DE CALCULO'!G183</f>
        <v>2</v>
      </c>
      <c r="G166" s="417">
        <f>VLOOKUP(B166,'CPU serviços'!B:G,5,0)</f>
        <v>62.43</v>
      </c>
      <c r="H166" s="407">
        <f t="shared" si="37"/>
        <v>78.796132137931039</v>
      </c>
      <c r="I166" s="408">
        <f t="shared" si="38"/>
        <v>157.59</v>
      </c>
      <c r="J166" s="299"/>
    </row>
    <row r="167" spans="1:10" ht="22.5" customHeight="1" x14ac:dyDescent="0.25">
      <c r="A167" s="395">
        <v>3</v>
      </c>
      <c r="B167" s="396"/>
      <c r="C167" s="397"/>
      <c r="D167" s="398" t="s">
        <v>621</v>
      </c>
      <c r="E167" s="396"/>
      <c r="F167" s="399"/>
      <c r="G167" s="461" t="s">
        <v>650</v>
      </c>
      <c r="H167" s="462"/>
      <c r="I167" s="400">
        <f>SUM(I168:I171)</f>
        <v>7475.05</v>
      </c>
      <c r="J167" s="299"/>
    </row>
    <row r="168" spans="1:10" ht="22.5" hidden="1" customHeight="1" x14ac:dyDescent="0.25">
      <c r="A168" s="418" t="s">
        <v>70</v>
      </c>
      <c r="B168" s="419">
        <v>4805750</v>
      </c>
      <c r="C168" s="355" t="s">
        <v>14</v>
      </c>
      <c r="D168" s="420" t="str">
        <f>VLOOKUP(B168,'CPU serviços'!B:G,3,0)</f>
        <v xml:space="preserve">Escavação manual em material de 1ª categoria na profundidade de até 1 m </v>
      </c>
      <c r="E168" s="389" t="str">
        <f>VLOOKUP(B168,'CPU serviços'!B:G,4,0)</f>
        <v>m³</v>
      </c>
      <c r="F168" s="421">
        <f>'MEMORIA DE CALCULO'!G189+'MEMORIA DE CALCULO'!G191+'MEMORIA DE CALCULO'!G194+'MEMORIA DE CALCULO'!G197+'MEMORIA DE CALCULO'!G198+'MEMORIA DE CALCULO'!G199+'MEMORIA DE CALCULO'!G200+'MEMORIA DE CALCULO'!G201</f>
        <v>49.625</v>
      </c>
      <c r="G168" s="422">
        <f>VLOOKUP(B168,'CPU serviços'!B:G,5,0)</f>
        <v>41.95</v>
      </c>
      <c r="H168" s="393">
        <f t="shared" ref="H168:H171" si="39">((G168*$I$7)+G168)</f>
        <v>52.94726482758621</v>
      </c>
      <c r="I168" s="394">
        <f t="shared" ref="I168:I171" si="40">ROUND(H168*F168,2)</f>
        <v>2627.51</v>
      </c>
      <c r="J168" s="299"/>
    </row>
    <row r="169" spans="1:10" ht="22.5" hidden="1" customHeight="1" x14ac:dyDescent="0.25">
      <c r="A169" s="211" t="s">
        <v>72</v>
      </c>
      <c r="B169" s="220">
        <v>4805751</v>
      </c>
      <c r="C169" s="191" t="s">
        <v>14</v>
      </c>
      <c r="D169" s="197" t="str">
        <f>VLOOKUP(B169,'CPU serviços'!B:G,3,0)</f>
        <v xml:space="preserve">Escavação manual em material de 1ª categoria na profundidade de 1 a 2 m </v>
      </c>
      <c r="E169" s="198" t="str">
        <f>VLOOKUP(B169,'CPU serviços'!B:G,4,0)</f>
        <v>m³</v>
      </c>
      <c r="F169" s="247">
        <f>'MEMORIA DE CALCULO'!G192+'MEMORIA DE CALCULO'!G195+'MEMORIA DE CALCULO'!G203</f>
        <v>21.5</v>
      </c>
      <c r="G169" s="221">
        <f>VLOOKUP(B169,'CPU serviços'!B:G,5,0)</f>
        <v>52.44</v>
      </c>
      <c r="H169" s="222">
        <f t="shared" si="39"/>
        <v>66.187236413793102</v>
      </c>
      <c r="I169" s="223">
        <f t="shared" si="40"/>
        <v>1423.03</v>
      </c>
      <c r="J169" s="299"/>
    </row>
    <row r="170" spans="1:10" ht="22.5" hidden="1" customHeight="1" x14ac:dyDescent="0.25">
      <c r="A170" s="211" t="s">
        <v>601</v>
      </c>
      <c r="B170" s="220">
        <v>4805760</v>
      </c>
      <c r="C170" s="191" t="s">
        <v>14</v>
      </c>
      <c r="D170" s="197" t="str">
        <f>VLOOKUP(B170,'CPU serviços'!B:G,3,0)</f>
        <v>Escavação manual em material de 2ª categoria na profundidade de até 1 m</v>
      </c>
      <c r="E170" s="198" t="str">
        <f>VLOOKUP(B170,'CPU serviços'!B:G,4,0)</f>
        <v>m³</v>
      </c>
      <c r="F170" s="247">
        <f>'MEMORIA DE CALCULO'!G187+'MEMORIA DE CALCULO'!G190+'MEMORIA DE CALCULO'!G202</f>
        <v>27</v>
      </c>
      <c r="G170" s="221">
        <f>VLOOKUP(B170,'CPU serviços'!B:G,5,0)</f>
        <v>58.87</v>
      </c>
      <c r="H170" s="222">
        <f t="shared" si="39"/>
        <v>74.302871999999994</v>
      </c>
      <c r="I170" s="223">
        <f t="shared" si="40"/>
        <v>2006.18</v>
      </c>
      <c r="J170" s="299"/>
    </row>
    <row r="171" spans="1:10" ht="30.75" hidden="1" customHeight="1" x14ac:dyDescent="0.25">
      <c r="A171" s="415" t="s">
        <v>602</v>
      </c>
      <c r="B171" s="372">
        <v>98529</v>
      </c>
      <c r="C171" s="372" t="s">
        <v>10</v>
      </c>
      <c r="D171" s="416" t="str">
        <f>VLOOKUP(B171,'CPU serviços'!B:G,3,0)</f>
        <v>CORTE RASO E RECORTE DE ÁRVORE COM DIÂMETRO DE TRONCO MAIOR OU IGUAL A 0,20 M E MENOR QUE 0,40 M.AF_05/2018</v>
      </c>
      <c r="E171" s="403" t="str">
        <f>VLOOKUP(B171,'CPU serviços'!B:G,4,0)</f>
        <v>UN</v>
      </c>
      <c r="F171" s="382">
        <f>'MEMORIA DE CALCULO'!G188+'MEMORIA DE CALCULO'!G193+'MEMORIA DE CALCULO'!G196</f>
        <v>18</v>
      </c>
      <c r="G171" s="417">
        <f>VLOOKUP(B171,'CPU serviços'!B:G,5,0)</f>
        <v>62.43</v>
      </c>
      <c r="H171" s="407">
        <f t="shared" si="39"/>
        <v>78.796132137931039</v>
      </c>
      <c r="I171" s="408">
        <f t="shared" si="40"/>
        <v>1418.33</v>
      </c>
      <c r="J171" s="299"/>
    </row>
    <row r="172" spans="1:10" ht="22.5" customHeight="1" x14ac:dyDescent="0.25">
      <c r="A172" s="428">
        <v>4</v>
      </c>
      <c r="B172" s="429"/>
      <c r="C172" s="430"/>
      <c r="D172" s="429" t="s">
        <v>622</v>
      </c>
      <c r="E172" s="429"/>
      <c r="F172" s="431"/>
      <c r="G172" s="461" t="s">
        <v>650</v>
      </c>
      <c r="H172" s="462"/>
      <c r="I172" s="432">
        <f>SUM(I173,I175)</f>
        <v>4222.6000000000004</v>
      </c>
      <c r="J172" s="299"/>
    </row>
    <row r="173" spans="1:10" ht="22.5" customHeight="1" x14ac:dyDescent="0.25">
      <c r="A173" s="423" t="s">
        <v>261</v>
      </c>
      <c r="B173" s="424"/>
      <c r="C173" s="425"/>
      <c r="D173" s="424" t="s">
        <v>138</v>
      </c>
      <c r="E173" s="424"/>
      <c r="F173" s="426"/>
      <c r="G173" s="463" t="s">
        <v>649</v>
      </c>
      <c r="H173" s="464"/>
      <c r="I173" s="427">
        <f>SUM(I174)</f>
        <v>1664.38</v>
      </c>
      <c r="J173" s="299"/>
    </row>
    <row r="174" spans="1:10" ht="30" hidden="1" x14ac:dyDescent="0.25">
      <c r="A174" s="238" t="s">
        <v>76</v>
      </c>
      <c r="B174" s="239" t="s">
        <v>619</v>
      </c>
      <c r="C174" s="240" t="s">
        <v>620</v>
      </c>
      <c r="D174" s="1" t="s">
        <v>605</v>
      </c>
      <c r="E174" s="240" t="s">
        <v>264</v>
      </c>
      <c r="F174" s="247">
        <v>2</v>
      </c>
      <c r="G174" s="221">
        <v>659.34</v>
      </c>
      <c r="H174" s="241">
        <f t="shared" ref="H174" si="41">ROUND(G174+G174*$I$7,2)</f>
        <v>832.19</v>
      </c>
      <c r="I174" s="242">
        <f t="shared" ref="I174:I176" si="42">ROUND(H174*F174,2)</f>
        <v>1664.38</v>
      </c>
      <c r="J174" s="299"/>
    </row>
    <row r="175" spans="1:10" ht="21.75" customHeight="1" thickBot="1" x14ac:dyDescent="0.3">
      <c r="A175" s="235" t="s">
        <v>262</v>
      </c>
      <c r="B175" s="236"/>
      <c r="C175" s="296"/>
      <c r="D175" s="236" t="s">
        <v>662</v>
      </c>
      <c r="E175" s="236"/>
      <c r="F175" s="244"/>
      <c r="G175" s="438" t="s">
        <v>649</v>
      </c>
      <c r="H175" s="439"/>
      <c r="I175" s="237">
        <f>SUM(I176:I178)</f>
        <v>2558.2199999999998</v>
      </c>
      <c r="J175" s="299"/>
    </row>
    <row r="176" spans="1:10" ht="6" hidden="1" customHeight="1" thickBot="1" x14ac:dyDescent="0.3">
      <c r="A176" s="279" t="s">
        <v>77</v>
      </c>
      <c r="B176" s="280">
        <v>4915708</v>
      </c>
      <c r="C176" s="281" t="s">
        <v>14</v>
      </c>
      <c r="D176" s="197" t="str">
        <f>VLOOKUP(B176,'CPU serviços'!B:G,3,0)</f>
        <v xml:space="preserve">Limpeza de sarjeta e meio-fio </v>
      </c>
      <c r="E176" s="198" t="str">
        <f>VLOOKUP(B176,'CPU serviços'!B:G,4,0)</f>
        <v>m</v>
      </c>
      <c r="F176" s="282">
        <f>'MEMORIA DE CALCULO'!G205</f>
        <v>2937.5</v>
      </c>
      <c r="G176" s="221">
        <f>VLOOKUP(B176,'CPU serviços'!B:G,5,0)</f>
        <v>0.69</v>
      </c>
      <c r="H176" s="222">
        <f t="shared" ref="H176" si="43">((G176*$I$7)+G176)</f>
        <v>0.87088468965517229</v>
      </c>
      <c r="I176" s="223">
        <f t="shared" si="42"/>
        <v>2558.2199999999998</v>
      </c>
      <c r="J176" s="299"/>
    </row>
    <row r="177" spans="1:9" ht="20.25" x14ac:dyDescent="0.25">
      <c r="A177" s="283"/>
      <c r="B177" s="284"/>
      <c r="C177" s="297"/>
      <c r="D177" s="465" t="s">
        <v>603</v>
      </c>
      <c r="E177" s="287"/>
      <c r="F177" s="288"/>
      <c r="G177" s="289"/>
      <c r="H177" s="467">
        <f>SUM(I172+I167+I15+I10)</f>
        <v>156883.14999999997</v>
      </c>
      <c r="I177" s="468"/>
    </row>
    <row r="178" spans="1:9" ht="21" thickBot="1" x14ac:dyDescent="0.3">
      <c r="A178" s="285"/>
      <c r="B178" s="286"/>
      <c r="C178" s="298"/>
      <c r="D178" s="466"/>
      <c r="E178" s="290"/>
      <c r="F178" s="291"/>
      <c r="G178" s="292"/>
      <c r="H178" s="469"/>
      <c r="I178" s="470"/>
    </row>
  </sheetData>
  <autoFilter ref="A9:I178" xr:uid="{59DFF8F1-0E6D-43FA-BBBB-59FCCB1FD9FB}"/>
  <mergeCells count="33">
    <mergeCell ref="D177:D178"/>
    <mergeCell ref="H177:I178"/>
    <mergeCell ref="G175:H175"/>
    <mergeCell ref="G142:H142"/>
    <mergeCell ref="G151:H151"/>
    <mergeCell ref="G159:H159"/>
    <mergeCell ref="G167:H167"/>
    <mergeCell ref="G172:H172"/>
    <mergeCell ref="G173:H173"/>
    <mergeCell ref="G128:H128"/>
    <mergeCell ref="G29:H29"/>
    <mergeCell ref="G40:H40"/>
    <mergeCell ref="G49:H49"/>
    <mergeCell ref="G62:H62"/>
    <mergeCell ref="G76:H76"/>
    <mergeCell ref="G85:H85"/>
    <mergeCell ref="G99:H99"/>
    <mergeCell ref="G107:H107"/>
    <mergeCell ref="G111:H111"/>
    <mergeCell ref="G117:H117"/>
    <mergeCell ref="G124:H124"/>
    <mergeCell ref="G23:H23"/>
    <mergeCell ref="A1:I1"/>
    <mergeCell ref="A2:I2"/>
    <mergeCell ref="A3:I3"/>
    <mergeCell ref="A4:I4"/>
    <mergeCell ref="A5:E5"/>
    <mergeCell ref="G6:H6"/>
    <mergeCell ref="G7:H7"/>
    <mergeCell ref="A8:I8"/>
    <mergeCell ref="G10:H10"/>
    <mergeCell ref="G15:H15"/>
    <mergeCell ref="G16:H16"/>
  </mergeCells>
  <printOptions horizontalCentered="1"/>
  <pageMargins left="0.11811023622047245" right="0.11811023622047245" top="0.59055118110236227" bottom="0.59055118110236227" header="0.31496062992125984" footer="0.31496062992125984"/>
  <pageSetup paperSize="9" scale="45" orientation="portrait" r:id="rId1"/>
  <ignoredErrors>
    <ignoredError sqref="I175 I16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FF8F1-0E6D-43FA-BBBB-59FCCB1FD9FB}">
  <dimension ref="A1:N178"/>
  <sheetViews>
    <sheetView view="pageBreakPreview" zoomScale="70" zoomScaleNormal="80" zoomScaleSheetLayoutView="70" workbookViewId="0">
      <selection activeCell="A8" sqref="A8:I8"/>
    </sheetView>
  </sheetViews>
  <sheetFormatPr defaultRowHeight="15" x14ac:dyDescent="0.25"/>
  <cols>
    <col min="1" max="1" width="11.5703125" style="48" bestFit="1" customWidth="1"/>
    <col min="2" max="2" width="13.85546875" style="48" customWidth="1"/>
    <col min="3" max="3" width="19.42578125" style="3" customWidth="1"/>
    <col min="4" max="4" width="93.140625" style="48" bestFit="1" customWidth="1"/>
    <col min="5" max="5" width="11" style="48" customWidth="1"/>
    <col min="6" max="6" width="16.140625" style="253" bestFit="1" customWidth="1"/>
    <col min="7" max="7" width="15" style="48" bestFit="1" customWidth="1"/>
    <col min="8" max="8" width="17.85546875" style="48" bestFit="1" customWidth="1"/>
    <col min="9" max="9" width="24.28515625" style="48" bestFit="1" customWidth="1"/>
    <col min="10" max="10" width="13.42578125" style="48" bestFit="1" customWidth="1"/>
    <col min="11" max="11" width="15" style="48" bestFit="1" customWidth="1"/>
    <col min="12" max="12" width="16.5703125" style="48" bestFit="1" customWidth="1"/>
    <col min="13" max="16384" width="9.140625" style="48"/>
  </cols>
  <sheetData>
    <row r="1" spans="1:14" ht="29.25" customHeight="1" x14ac:dyDescent="0.25">
      <c r="A1" s="440" t="s">
        <v>664</v>
      </c>
      <c r="B1" s="441"/>
      <c r="C1" s="441"/>
      <c r="D1" s="441"/>
      <c r="E1" s="441"/>
      <c r="F1" s="441"/>
      <c r="G1" s="441"/>
      <c r="H1" s="441"/>
      <c r="I1" s="442"/>
      <c r="J1" s="182"/>
    </row>
    <row r="2" spans="1:14" ht="30.75" customHeight="1" x14ac:dyDescent="0.25">
      <c r="A2" s="443" t="s">
        <v>48</v>
      </c>
      <c r="B2" s="444"/>
      <c r="C2" s="444"/>
      <c r="D2" s="444"/>
      <c r="E2" s="444"/>
      <c r="F2" s="444"/>
      <c r="G2" s="444"/>
      <c r="H2" s="444"/>
      <c r="I2" s="445"/>
      <c r="J2" s="182"/>
    </row>
    <row r="3" spans="1:14" ht="23.25" customHeight="1" thickBot="1" x14ac:dyDescent="0.3">
      <c r="A3" s="446" t="s">
        <v>49</v>
      </c>
      <c r="B3" s="447"/>
      <c r="C3" s="447"/>
      <c r="D3" s="447"/>
      <c r="E3" s="447"/>
      <c r="F3" s="447"/>
      <c r="G3" s="447"/>
      <c r="H3" s="447"/>
      <c r="I3" s="448"/>
      <c r="J3" s="182"/>
    </row>
    <row r="4" spans="1:14" ht="33" customHeight="1" thickBot="1" x14ac:dyDescent="0.3">
      <c r="A4" s="449" t="s">
        <v>73</v>
      </c>
      <c r="B4" s="450"/>
      <c r="C4" s="450"/>
      <c r="D4" s="450"/>
      <c r="E4" s="450"/>
      <c r="F4" s="450"/>
      <c r="G4" s="450"/>
      <c r="H4" s="450"/>
      <c r="I4" s="451"/>
      <c r="J4" s="183"/>
    </row>
    <row r="5" spans="1:14" ht="24" customHeight="1" thickBot="1" x14ac:dyDescent="0.3">
      <c r="A5" s="452" t="s">
        <v>480</v>
      </c>
      <c r="B5" s="453"/>
      <c r="C5" s="453"/>
      <c r="D5" s="453"/>
      <c r="E5" s="453"/>
      <c r="F5" s="245"/>
      <c r="G5" s="187"/>
      <c r="H5" s="187"/>
      <c r="I5" s="188"/>
      <c r="J5" s="184"/>
    </row>
    <row r="6" spans="1:14" ht="24" customHeight="1" x14ac:dyDescent="0.25">
      <c r="A6" s="146"/>
      <c r="B6" s="181"/>
      <c r="C6" s="181"/>
      <c r="D6" s="189"/>
      <c r="E6" s="181"/>
      <c r="F6" s="246"/>
      <c r="G6" s="454" t="s">
        <v>50</v>
      </c>
      <c r="H6" s="455"/>
      <c r="I6" s="147">
        <f>'[3]Encargos Sociais'!F52</f>
        <v>1.1446999999999998</v>
      </c>
      <c r="J6" s="185"/>
      <c r="N6" s="148"/>
    </row>
    <row r="7" spans="1:14" ht="24" customHeight="1" thickBot="1" x14ac:dyDescent="0.3">
      <c r="A7" s="146" t="s">
        <v>51</v>
      </c>
      <c r="B7" s="181"/>
      <c r="C7" s="181" t="s">
        <v>479</v>
      </c>
      <c r="D7" s="189"/>
      <c r="E7" s="181"/>
      <c r="F7" s="246"/>
      <c r="G7" s="456" t="s">
        <v>52</v>
      </c>
      <c r="H7" s="457"/>
      <c r="I7" s="149">
        <f>[3]BDI!D36</f>
        <v>0.26215172413793097</v>
      </c>
      <c r="J7" s="185"/>
      <c r="N7" s="148"/>
    </row>
    <row r="8" spans="1:14" ht="24" customHeight="1" thickBot="1" x14ac:dyDescent="0.3">
      <c r="A8" s="458" t="s">
        <v>667</v>
      </c>
      <c r="B8" s="459"/>
      <c r="C8" s="459"/>
      <c r="D8" s="459"/>
      <c r="E8" s="459"/>
      <c r="F8" s="459"/>
      <c r="G8" s="459"/>
      <c r="H8" s="459"/>
      <c r="I8" s="460"/>
      <c r="J8" s="186"/>
    </row>
    <row r="9" spans="1:14" s="3" customFormat="1" ht="45" customHeight="1" x14ac:dyDescent="0.25">
      <c r="A9" s="257" t="s">
        <v>53</v>
      </c>
      <c r="B9" s="258" t="s">
        <v>8</v>
      </c>
      <c r="C9" s="258" t="s">
        <v>54</v>
      </c>
      <c r="D9" s="258" t="s">
        <v>55</v>
      </c>
      <c r="E9" s="258" t="s">
        <v>56</v>
      </c>
      <c r="F9" s="259" t="s">
        <v>57</v>
      </c>
      <c r="G9" s="258" t="s">
        <v>481</v>
      </c>
      <c r="H9" s="258" t="s">
        <v>58</v>
      </c>
      <c r="I9" s="260" t="s">
        <v>17</v>
      </c>
    </row>
    <row r="10" spans="1:14" ht="25.5" customHeight="1" x14ac:dyDescent="0.25">
      <c r="A10" s="261">
        <v>1</v>
      </c>
      <c r="B10" s="262"/>
      <c r="C10" s="293"/>
      <c r="D10" s="263" t="s">
        <v>636</v>
      </c>
      <c r="E10" s="262"/>
      <c r="F10" s="264"/>
      <c r="G10" s="471" t="s">
        <v>650</v>
      </c>
      <c r="H10" s="472"/>
      <c r="I10" s="265">
        <f>SUM(I11:I14)</f>
        <v>55100.039999999994</v>
      </c>
      <c r="J10" s="299">
        <f t="shared" ref="J10:J19" si="0">I10/$H$177</f>
        <v>0.35121706824474141</v>
      </c>
      <c r="K10" s="150"/>
    </row>
    <row r="11" spans="1:14" ht="25.5" customHeight="1" x14ac:dyDescent="0.25">
      <c r="A11" s="193" t="s">
        <v>1</v>
      </c>
      <c r="B11" s="226" t="s">
        <v>59</v>
      </c>
      <c r="C11" s="198" t="s">
        <v>60</v>
      </c>
      <c r="D11" s="233" t="s">
        <v>4</v>
      </c>
      <c r="E11" s="198" t="s">
        <v>493</v>
      </c>
      <c r="F11" s="243">
        <v>1</v>
      </c>
      <c r="G11" s="234">
        <f>'CPU Codevasf'!H14</f>
        <v>33179.46</v>
      </c>
      <c r="H11" s="222">
        <f t="shared" ref="H11:H14" si="1">((G11*$I$7)+G11)</f>
        <v>41877.512644965514</v>
      </c>
      <c r="I11" s="223">
        <f t="shared" ref="I11:I14" si="2">ROUND(H11*F11,2)</f>
        <v>41877.51</v>
      </c>
      <c r="J11" s="299">
        <f t="shared" si="0"/>
        <v>0.26693440308917821</v>
      </c>
      <c r="K11" s="150"/>
      <c r="L11" s="359">
        <f>I11/3</f>
        <v>13959.17</v>
      </c>
      <c r="N11" s="148"/>
    </row>
    <row r="12" spans="1:14" ht="25.5" customHeight="1" x14ac:dyDescent="0.25">
      <c r="A12" s="193" t="s">
        <v>61</v>
      </c>
      <c r="B12" s="226" t="s">
        <v>62</v>
      </c>
      <c r="C12" s="198" t="s">
        <v>60</v>
      </c>
      <c r="D12" s="233" t="s">
        <v>63</v>
      </c>
      <c r="E12" s="198" t="s">
        <v>264</v>
      </c>
      <c r="F12" s="243">
        <v>1</v>
      </c>
      <c r="G12" s="234">
        <f>'CPU Codevasf'!H24</f>
        <v>3895.3799999999997</v>
      </c>
      <c r="H12" s="222">
        <f t="shared" si="1"/>
        <v>4916.5605831724133</v>
      </c>
      <c r="I12" s="223">
        <f t="shared" si="2"/>
        <v>4916.5600000000004</v>
      </c>
      <c r="J12" s="299">
        <f t="shared" si="0"/>
        <v>3.1338993384566805E-2</v>
      </c>
      <c r="K12" s="150"/>
      <c r="L12" s="359">
        <f>L11*3</f>
        <v>41877.51</v>
      </c>
    </row>
    <row r="13" spans="1:14" ht="25.5" customHeight="1" x14ac:dyDescent="0.25">
      <c r="A13" s="193" t="s">
        <v>64</v>
      </c>
      <c r="B13" s="226" t="s">
        <v>62</v>
      </c>
      <c r="C13" s="198" t="s">
        <v>60</v>
      </c>
      <c r="D13" s="233" t="s">
        <v>65</v>
      </c>
      <c r="E13" s="198" t="s">
        <v>433</v>
      </c>
      <c r="F13" s="243">
        <v>1</v>
      </c>
      <c r="G13" s="234">
        <f>'CPU Codevasf'!H24</f>
        <v>3895.3799999999997</v>
      </c>
      <c r="H13" s="222">
        <f t="shared" si="1"/>
        <v>4916.5605831724133</v>
      </c>
      <c r="I13" s="223">
        <f t="shared" si="2"/>
        <v>4916.5600000000004</v>
      </c>
      <c r="J13" s="299">
        <f t="shared" si="0"/>
        <v>3.1338993384566805E-2</v>
      </c>
      <c r="K13" s="150"/>
    </row>
    <row r="14" spans="1:14" ht="25.5" customHeight="1" x14ac:dyDescent="0.25">
      <c r="A14" s="193" t="s">
        <v>5</v>
      </c>
      <c r="B14" s="226" t="s">
        <v>66</v>
      </c>
      <c r="C14" s="198" t="s">
        <v>60</v>
      </c>
      <c r="D14" s="233" t="s">
        <v>658</v>
      </c>
      <c r="E14" s="198" t="s">
        <v>494</v>
      </c>
      <c r="F14" s="243">
        <v>6</v>
      </c>
      <c r="G14" s="234">
        <f>'CPU Codevasf'!H41</f>
        <v>447.57000000000005</v>
      </c>
      <c r="H14" s="222">
        <f t="shared" si="1"/>
        <v>564.90124717241383</v>
      </c>
      <c r="I14" s="223">
        <f t="shared" si="2"/>
        <v>3389.41</v>
      </c>
      <c r="J14" s="299">
        <f t="shared" si="0"/>
        <v>2.1604678386429651E-2</v>
      </c>
      <c r="K14" s="150"/>
    </row>
    <row r="15" spans="1:14" ht="22.5" customHeight="1" x14ac:dyDescent="0.25">
      <c r="A15" s="261">
        <v>2</v>
      </c>
      <c r="B15" s="262"/>
      <c r="C15" s="293"/>
      <c r="D15" s="263" t="s">
        <v>482</v>
      </c>
      <c r="E15" s="262"/>
      <c r="F15" s="264"/>
      <c r="G15" s="471" t="s">
        <v>650</v>
      </c>
      <c r="H15" s="472"/>
      <c r="I15" s="265">
        <f>SUM(I16,I23,I29,I40,I49,I62,I76,I85,I99,I107,I111,I117,I124,I128,I142,I151,I159)</f>
        <v>90085.459999999992</v>
      </c>
      <c r="J15" s="299">
        <f t="shared" si="0"/>
        <v>0.574220112230026</v>
      </c>
      <c r="K15" s="150"/>
    </row>
    <row r="16" spans="1:14" ht="22.5" customHeight="1" x14ac:dyDescent="0.25">
      <c r="A16" s="266" t="s">
        <v>68</v>
      </c>
      <c r="B16" s="267"/>
      <c r="C16" s="294"/>
      <c r="D16" s="268" t="s">
        <v>268</v>
      </c>
      <c r="E16" s="267"/>
      <c r="F16" s="269"/>
      <c r="G16" s="438" t="s">
        <v>649</v>
      </c>
      <c r="H16" s="439"/>
      <c r="I16" s="270">
        <f>SUM(I18:I22)</f>
        <v>656.4</v>
      </c>
      <c r="J16" s="299">
        <f t="shared" si="0"/>
        <v>4.1840057393034251E-3</v>
      </c>
      <c r="K16" s="150"/>
    </row>
    <row r="17" spans="1:12" ht="22.5" customHeight="1" x14ac:dyDescent="0.2">
      <c r="A17" s="211"/>
      <c r="B17" s="209"/>
      <c r="C17" s="209"/>
      <c r="D17" s="219" t="s">
        <v>270</v>
      </c>
      <c r="E17" s="198"/>
      <c r="F17" s="247"/>
      <c r="G17" s="221"/>
      <c r="H17" s="222"/>
      <c r="I17" s="223"/>
      <c r="J17" s="299">
        <f t="shared" si="0"/>
        <v>0</v>
      </c>
      <c r="K17" s="150"/>
    </row>
    <row r="18" spans="1:12" ht="22.5" customHeight="1" x14ac:dyDescent="0.2">
      <c r="A18" s="211" t="s">
        <v>484</v>
      </c>
      <c r="B18" s="271">
        <v>4805750</v>
      </c>
      <c r="C18" s="209" t="s">
        <v>14</v>
      </c>
      <c r="D18" s="197" t="str">
        <f>VLOOKUP(B18,'CPU serviços'!B:G,3,0)</f>
        <v xml:space="preserve">Escavação manual em material de 1ª categoria na profundidade de até 1 m </v>
      </c>
      <c r="E18" s="198" t="str">
        <f>VLOOKUP(B18,'CPU serviços'!B:G,4,0)</f>
        <v>m³</v>
      </c>
      <c r="F18" s="247">
        <f>'MEMORIA DE CALCULO'!G10</f>
        <v>0.24</v>
      </c>
      <c r="G18" s="221">
        <f>VLOOKUP(B18,'CPU serviços'!B:G,5,0)</f>
        <v>41.95</v>
      </c>
      <c r="H18" s="222">
        <f t="shared" ref="H18:H39" si="3">((G18*$I$7)+G18)</f>
        <v>52.94726482758621</v>
      </c>
      <c r="I18" s="223">
        <f t="shared" ref="I18:I22" si="4">ROUND(H18*F18,2)</f>
        <v>12.71</v>
      </c>
      <c r="J18" s="299">
        <f t="shared" si="0"/>
        <v>8.1015711374994728E-5</v>
      </c>
      <c r="K18" s="150"/>
      <c r="L18" s="48">
        <v>3</v>
      </c>
    </row>
    <row r="19" spans="1:12" ht="22.5" customHeight="1" x14ac:dyDescent="0.2">
      <c r="A19" s="211" t="s">
        <v>485</v>
      </c>
      <c r="B19" s="191">
        <v>1106057</v>
      </c>
      <c r="C19" s="209" t="s">
        <v>14</v>
      </c>
      <c r="D19" s="197" t="str">
        <f>VLOOKUP(B19,'CPU serviços'!B:G,3,0)</f>
        <v>Concreto magro - confecção em betoneira e lançamento manual - areia e brita comerciais</v>
      </c>
      <c r="E19" s="198" t="str">
        <f>VLOOKUP(B19,'CPU serviços'!B:G,4,0)</f>
        <v>m³</v>
      </c>
      <c r="F19" s="247">
        <f>'MEMORIA DE CALCULO'!G10</f>
        <v>0.24</v>
      </c>
      <c r="G19" s="221">
        <f>VLOOKUP(B19,'CPU serviços'!B:G,5,0)</f>
        <v>477.58</v>
      </c>
      <c r="H19" s="222">
        <f t="shared" si="3"/>
        <v>602.77842041379301</v>
      </c>
      <c r="I19" s="223">
        <f t="shared" si="4"/>
        <v>144.66999999999999</v>
      </c>
      <c r="J19" s="299">
        <f t="shared" si="0"/>
        <v>9.2215129540680445E-4</v>
      </c>
      <c r="K19" s="150"/>
    </row>
    <row r="20" spans="1:12" ht="45" x14ac:dyDescent="0.2">
      <c r="A20" s="211" t="s">
        <v>486</v>
      </c>
      <c r="B20" s="191">
        <v>97086</v>
      </c>
      <c r="C20" s="209" t="s">
        <v>10</v>
      </c>
      <c r="D20" s="197" t="str">
        <f>VLOOKUP(B20,'CPU serviços'!B:G,3,0)</f>
        <v>FABRICAÇÃO, MONTAGEM E DESMONTAGEM DE FORMA PARA RADIER, PISO DE CONCRETO OU LAJE SOBRE SOLO, EM MADEIRA SERRADA, 4 UTILIZAÇÕES. AF_09/2021</v>
      </c>
      <c r="E20" s="198" t="str">
        <f>VLOOKUP(B20,'CPU serviços'!B:G,4,0)</f>
        <v>m²</v>
      </c>
      <c r="F20" s="247">
        <f>'MEMORIA DE CALCULO'!G12</f>
        <v>0.4</v>
      </c>
      <c r="G20" s="221">
        <f>VLOOKUP(B20,'CPU serviços'!B:G,5,0)</f>
        <v>135.6</v>
      </c>
      <c r="H20" s="222">
        <f t="shared" ref="H20" si="5">((G20*$I$7)+G20)</f>
        <v>171.14777379310343</v>
      </c>
      <c r="I20" s="223">
        <f t="shared" ref="I20" si="6">ROUND(H20*F20,2)</f>
        <v>68.459999999999994</v>
      </c>
      <c r="J20" s="299"/>
      <c r="K20" s="150"/>
    </row>
    <row r="21" spans="1:12" ht="22.5" customHeight="1" x14ac:dyDescent="0.2">
      <c r="A21" s="211" t="s">
        <v>487</v>
      </c>
      <c r="B21" s="356">
        <v>4915710</v>
      </c>
      <c r="C21" s="209" t="s">
        <v>14</v>
      </c>
      <c r="D21" s="197" t="str">
        <f>VLOOKUP(B21,'CPU serviços'!B:G,3,0)</f>
        <v xml:space="preserve">Limpeza de vala de drenagem </v>
      </c>
      <c r="E21" s="198" t="str">
        <f>VLOOKUP(B21,'CPU serviços'!B:G,4,0)</f>
        <v>m</v>
      </c>
      <c r="F21" s="247">
        <f>'MEMORIA DE CALCULO'!D11</f>
        <v>7</v>
      </c>
      <c r="G21" s="221">
        <f>VLOOKUP(B21,'CPU serviços'!B:G,5,0)</f>
        <v>4.1399999999999997</v>
      </c>
      <c r="H21" s="222">
        <f t="shared" si="3"/>
        <v>5.2253081379310338</v>
      </c>
      <c r="I21" s="223">
        <f t="shared" si="4"/>
        <v>36.58</v>
      </c>
      <c r="J21" s="299">
        <f t="shared" ref="J21:J44" si="7">I21/$H$177</f>
        <v>2.3316716932315551E-4</v>
      </c>
      <c r="K21" s="150"/>
    </row>
    <row r="22" spans="1:12" ht="30" x14ac:dyDescent="0.2">
      <c r="A22" s="211" t="s">
        <v>644</v>
      </c>
      <c r="B22" s="191">
        <v>98529</v>
      </c>
      <c r="C22" s="209" t="s">
        <v>10</v>
      </c>
      <c r="D22" s="197" t="str">
        <f>VLOOKUP(B22,'CPU serviços'!B:G,3,0)</f>
        <v>CORTE RASO E RECORTE DE ÁRVORE COM DIÂMETRO DE TRONCO MAIOR OU IGUAL A 0,20 M E MENOR QUE 0,40 M.AF_05/2018</v>
      </c>
      <c r="E22" s="198" t="str">
        <f>VLOOKUP(B22,'CPU serviços'!B:G,4,0)</f>
        <v>UN</v>
      </c>
      <c r="F22" s="247">
        <f>'MEMORIA DE CALCULO'!G14</f>
        <v>5</v>
      </c>
      <c r="G22" s="221">
        <f>VLOOKUP(B22,'CPU serviços'!B:G,5,0)</f>
        <v>62.43</v>
      </c>
      <c r="H22" s="222">
        <f t="shared" si="3"/>
        <v>78.796132137931039</v>
      </c>
      <c r="I22" s="223">
        <f t="shared" si="4"/>
        <v>393.98</v>
      </c>
      <c r="J22" s="299">
        <f t="shared" si="7"/>
        <v>2.5112958274996398E-3</v>
      </c>
      <c r="K22" s="174"/>
    </row>
    <row r="23" spans="1:12" ht="22.5" customHeight="1" x14ac:dyDescent="0.25">
      <c r="A23" s="266" t="s">
        <v>69</v>
      </c>
      <c r="B23" s="267"/>
      <c r="C23" s="294"/>
      <c r="D23" s="268" t="s">
        <v>284</v>
      </c>
      <c r="E23" s="267"/>
      <c r="F23" s="269"/>
      <c r="G23" s="438" t="s">
        <v>649</v>
      </c>
      <c r="H23" s="439"/>
      <c r="I23" s="270">
        <f>SUM(I25:I28)</f>
        <v>954.75</v>
      </c>
      <c r="J23" s="299">
        <f t="shared" si="7"/>
        <v>6.0857396093844385E-3</v>
      </c>
      <c r="K23" s="174"/>
    </row>
    <row r="24" spans="1:12" ht="22.5" customHeight="1" x14ac:dyDescent="0.2">
      <c r="A24" s="193"/>
      <c r="B24" s="196"/>
      <c r="C24" s="198"/>
      <c r="D24" s="224" t="s">
        <v>270</v>
      </c>
      <c r="E24" s="198"/>
      <c r="F24" s="248"/>
      <c r="G24" s="221"/>
      <c r="H24" s="222"/>
      <c r="I24" s="223"/>
      <c r="J24" s="299">
        <f t="shared" si="7"/>
        <v>0</v>
      </c>
      <c r="K24" s="174"/>
    </row>
    <row r="25" spans="1:12" ht="22.5" customHeight="1" x14ac:dyDescent="0.2">
      <c r="A25" s="193" t="s">
        <v>489</v>
      </c>
      <c r="B25" s="196">
        <v>4915713</v>
      </c>
      <c r="C25" s="209" t="s">
        <v>14</v>
      </c>
      <c r="D25" s="197" t="str">
        <f>VLOOKUP(B25,'CPU serviços'!B:G,3,0)</f>
        <v xml:space="preserve"> Desobstrução de bueiro</v>
      </c>
      <c r="E25" s="198" t="str">
        <f>VLOOKUP(B25,'CPU serviços'!B:G,4,0)</f>
        <v>m³</v>
      </c>
      <c r="F25" s="248">
        <f>'MEMORIA DE CALCULO'!G21</f>
        <v>1.05</v>
      </c>
      <c r="G25" s="221">
        <f>VLOOKUP(B25,'CPU serviços'!B:G,5,0)</f>
        <v>62.04</v>
      </c>
      <c r="H25" s="222">
        <f t="shared" si="3"/>
        <v>78.303892965517235</v>
      </c>
      <c r="I25" s="223">
        <f t="shared" ref="I25:I39" si="8">ROUND(H25*F25,2)</f>
        <v>82.22</v>
      </c>
      <c r="J25" s="299">
        <f t="shared" si="7"/>
        <v>5.2408432645570933E-4</v>
      </c>
      <c r="K25" s="174"/>
    </row>
    <row r="26" spans="1:12" s="151" customFormat="1" ht="22.5" customHeight="1" x14ac:dyDescent="0.25">
      <c r="A26" s="193"/>
      <c r="B26" s="158"/>
      <c r="C26" s="198"/>
      <c r="D26" s="224" t="s">
        <v>275</v>
      </c>
      <c r="E26" s="198"/>
      <c r="F26" s="248"/>
      <c r="G26" s="221"/>
      <c r="H26" s="222"/>
      <c r="I26" s="223"/>
      <c r="J26" s="299">
        <f t="shared" si="7"/>
        <v>0</v>
      </c>
    </row>
    <row r="27" spans="1:12" s="151" customFormat="1" ht="22.5" customHeight="1" x14ac:dyDescent="0.2">
      <c r="A27" s="193" t="s">
        <v>490</v>
      </c>
      <c r="B27" s="196">
        <v>4915713</v>
      </c>
      <c r="C27" s="209" t="s">
        <v>14</v>
      </c>
      <c r="D27" s="197" t="str">
        <f>VLOOKUP(B27,'CPU serviços'!B:G,3,0)</f>
        <v xml:space="preserve"> Desobstrução de bueiro</v>
      </c>
      <c r="E27" s="198" t="str">
        <f>VLOOKUP(B27,'CPU serviços'!B:G,4,0)</f>
        <v>m³</v>
      </c>
      <c r="F27" s="248">
        <f>'MEMORIA DE CALCULO'!G24</f>
        <v>1.08</v>
      </c>
      <c r="G27" s="221">
        <f>VLOOKUP(B27,'CPU serviços'!B:G,5,0)</f>
        <v>62.04</v>
      </c>
      <c r="H27" s="222">
        <f t="shared" si="3"/>
        <v>78.303892965517235</v>
      </c>
      <c r="I27" s="223">
        <f t="shared" si="8"/>
        <v>84.57</v>
      </c>
      <c r="J27" s="299">
        <f t="shared" si="7"/>
        <v>5.3906362792944943E-4</v>
      </c>
    </row>
    <row r="28" spans="1:12" s="152" customFormat="1" ht="30" x14ac:dyDescent="0.2">
      <c r="A28" s="193" t="s">
        <v>600</v>
      </c>
      <c r="B28" s="191">
        <v>98529</v>
      </c>
      <c r="C28" s="198" t="s">
        <v>10</v>
      </c>
      <c r="D28" s="197" t="str">
        <f>VLOOKUP(B28,'CPU serviços'!B:G,3,0)</f>
        <v>CORTE RASO E RECORTE DE ÁRVORE COM DIÂMETRO DE TRONCO MAIOR OU IGUAL A 0,20 M E MENOR QUE 0,40 M.AF_05/2018</v>
      </c>
      <c r="E28" s="198" t="str">
        <f>VLOOKUP(B28,'CPU serviços'!B:G,4,0)</f>
        <v>UN</v>
      </c>
      <c r="F28" s="248">
        <f>'MEMORIA DE CALCULO'!G25</f>
        <v>10</v>
      </c>
      <c r="G28" s="221">
        <f>VLOOKUP(B28,'CPU serviços'!B:G,5,0)</f>
        <v>62.43</v>
      </c>
      <c r="H28" s="222">
        <f t="shared" si="3"/>
        <v>78.796132137931039</v>
      </c>
      <c r="I28" s="223">
        <f t="shared" si="8"/>
        <v>787.96</v>
      </c>
      <c r="J28" s="299">
        <f t="shared" si="7"/>
        <v>5.0225916549992795E-3</v>
      </c>
    </row>
    <row r="29" spans="1:12" s="152" customFormat="1" ht="22.5" customHeight="1" x14ac:dyDescent="0.25">
      <c r="A29" s="266" t="s">
        <v>495</v>
      </c>
      <c r="B29" s="267"/>
      <c r="C29" s="294"/>
      <c r="D29" s="268" t="s">
        <v>288</v>
      </c>
      <c r="E29" s="267"/>
      <c r="F29" s="269"/>
      <c r="G29" s="438" t="s">
        <v>649</v>
      </c>
      <c r="H29" s="439"/>
      <c r="I29" s="270">
        <f>SUM(I31:I39)</f>
        <v>5234.97</v>
      </c>
      <c r="J29" s="299">
        <f t="shared" si="7"/>
        <v>3.3368593121695996E-2</v>
      </c>
    </row>
    <row r="30" spans="1:12" s="152" customFormat="1" ht="22.5" customHeight="1" x14ac:dyDescent="0.2">
      <c r="A30" s="193"/>
      <c r="B30" s="196"/>
      <c r="C30" s="198"/>
      <c r="D30" s="225" t="s">
        <v>270</v>
      </c>
      <c r="E30" s="198"/>
      <c r="F30" s="248"/>
      <c r="G30" s="221"/>
      <c r="H30" s="222"/>
      <c r="I30" s="223"/>
      <c r="J30" s="299">
        <f t="shared" si="7"/>
        <v>0</v>
      </c>
    </row>
    <row r="31" spans="1:12" s="152" customFormat="1" ht="30" x14ac:dyDescent="0.2">
      <c r="A31" s="193" t="s">
        <v>592</v>
      </c>
      <c r="B31" s="191">
        <v>97622</v>
      </c>
      <c r="C31" s="198" t="s">
        <v>10</v>
      </c>
      <c r="D31" s="197" t="str">
        <f>VLOOKUP(B31,'CPU serviços'!B:G,3,0)</f>
        <v>DEMOLIÇÃO DE ALVENARIA DE BLOCO FURADO, DE FORMA MANUAL, SEM REAPROVEITAMENTO. AF_12/2017</v>
      </c>
      <c r="E31" s="198" t="str">
        <f>VLOOKUP(B31,'CPU serviços'!B:G,4,0)</f>
        <v>m³</v>
      </c>
      <c r="F31" s="248">
        <f>'MEMORIA DE CALCULO'!G28</f>
        <v>0.33749999999999997</v>
      </c>
      <c r="G31" s="221">
        <f>VLOOKUP(B31,'CPU serviços'!B:G,5,0)</f>
        <v>56.79</v>
      </c>
      <c r="H31" s="222">
        <f t="shared" si="3"/>
        <v>71.677596413793097</v>
      </c>
      <c r="I31" s="223">
        <f t="shared" si="8"/>
        <v>24.19</v>
      </c>
      <c r="J31" s="299">
        <f t="shared" si="7"/>
        <v>1.5419119261692545E-4</v>
      </c>
    </row>
    <row r="32" spans="1:12" ht="22.5" customHeight="1" x14ac:dyDescent="0.25">
      <c r="A32" s="193" t="s">
        <v>593</v>
      </c>
      <c r="B32" s="196">
        <v>4915713</v>
      </c>
      <c r="C32" s="198" t="s">
        <v>14</v>
      </c>
      <c r="D32" s="197" t="str">
        <f>VLOOKUP(B32,'CPU serviços'!B:G,3,0)</f>
        <v xml:space="preserve"> Desobstrução de bueiro</v>
      </c>
      <c r="E32" s="198" t="str">
        <f>VLOOKUP(B32,'CPU serviços'!B:G,4,0)</f>
        <v>m³</v>
      </c>
      <c r="F32" s="249">
        <f>'MEMORIA DE CALCULO'!G29</f>
        <v>13.5</v>
      </c>
      <c r="G32" s="221">
        <f>VLOOKUP(B32,'CPU serviços'!B:G,5,0)</f>
        <v>62.04</v>
      </c>
      <c r="H32" s="222">
        <f t="shared" si="3"/>
        <v>78.303892965517235</v>
      </c>
      <c r="I32" s="223">
        <f t="shared" si="8"/>
        <v>1057.0999999999999</v>
      </c>
      <c r="J32" s="299">
        <f t="shared" si="7"/>
        <v>6.7381359948471215E-3</v>
      </c>
      <c r="K32" s="150"/>
    </row>
    <row r="33" spans="1:11" ht="30" x14ac:dyDescent="0.25">
      <c r="A33" s="193" t="s">
        <v>594</v>
      </c>
      <c r="B33" s="191">
        <v>98529</v>
      </c>
      <c r="C33" s="198" t="s">
        <v>10</v>
      </c>
      <c r="D33" s="197" t="str">
        <f>VLOOKUP(B33,'CPU serviços'!B:G,3,0)</f>
        <v>CORTE RASO E RECORTE DE ÁRVORE COM DIÂMETRO DE TRONCO MAIOR OU IGUAL A 0,20 M E MENOR QUE 0,40 M.AF_05/2018</v>
      </c>
      <c r="E33" s="198" t="str">
        <f>VLOOKUP(B33,'CPU serviços'!B:G,4,0)</f>
        <v>UN</v>
      </c>
      <c r="F33" s="250">
        <f>'MEMORIA DE CALCULO'!G30</f>
        <v>6</v>
      </c>
      <c r="G33" s="221">
        <f>VLOOKUP(B33,'CPU serviços'!B:G,5,0)</f>
        <v>62.43</v>
      </c>
      <c r="H33" s="222">
        <f t="shared" si="3"/>
        <v>78.796132137931039</v>
      </c>
      <c r="I33" s="223">
        <f t="shared" si="8"/>
        <v>472.78</v>
      </c>
      <c r="J33" s="299">
        <f t="shared" si="7"/>
        <v>3.0135804896829271E-3</v>
      </c>
      <c r="K33" s="150"/>
    </row>
    <row r="34" spans="1:11" ht="22.5" customHeight="1" x14ac:dyDescent="0.25">
      <c r="A34" s="193"/>
      <c r="B34" s="227"/>
      <c r="C34" s="198"/>
      <c r="D34" s="224" t="s">
        <v>275</v>
      </c>
      <c r="E34" s="198"/>
      <c r="F34" s="250"/>
      <c r="G34" s="221"/>
      <c r="H34" s="222"/>
      <c r="I34" s="223"/>
      <c r="J34" s="299">
        <f t="shared" si="7"/>
        <v>0</v>
      </c>
      <c r="K34" s="150"/>
    </row>
    <row r="35" spans="1:11" ht="22.5" customHeight="1" x14ac:dyDescent="0.25">
      <c r="A35" s="193" t="s">
        <v>595</v>
      </c>
      <c r="B35" s="191">
        <v>4016008</v>
      </c>
      <c r="C35" s="198" t="s">
        <v>14</v>
      </c>
      <c r="D35" s="197" t="str">
        <f>VLOOKUP(B35,'CPU serviços'!B:G,3,0)</f>
        <v>Escavação e carga de material de jazida com trator de 127 kW e carregadeira de 3,4 m³</v>
      </c>
      <c r="E35" s="198" t="str">
        <f>VLOOKUP(B35,'CPU serviços'!B:G,4,0)</f>
        <v>m³</v>
      </c>
      <c r="F35" s="249">
        <f>'MEMORIA DE CALCULO'!G33</f>
        <v>75</v>
      </c>
      <c r="G35" s="221">
        <f>VLOOKUP(B35,'CPU serviços'!B:G,5,0)</f>
        <v>3.72</v>
      </c>
      <c r="H35" s="222">
        <f t="shared" si="3"/>
        <v>4.6952044137931033</v>
      </c>
      <c r="I35" s="223">
        <f t="shared" si="8"/>
        <v>352.14</v>
      </c>
      <c r="J35" s="299">
        <f t="shared" si="7"/>
        <v>2.2446005195586654E-3</v>
      </c>
      <c r="K35" s="150"/>
    </row>
    <row r="36" spans="1:11" ht="22.5" customHeight="1" x14ac:dyDescent="0.25">
      <c r="A36" s="193" t="s">
        <v>596</v>
      </c>
      <c r="B36" s="191">
        <v>5914359</v>
      </c>
      <c r="C36" s="198" t="s">
        <v>14</v>
      </c>
      <c r="D36" s="197" t="str">
        <f>VLOOKUP(B36,'CPU serviços'!B:G,3,0)</f>
        <v>Transporte com caminhão basculante de 10 m³ - rodovia em leito natural</v>
      </c>
      <c r="E36" s="198" t="str">
        <f>VLOOKUP(B36,'CPU serviços'!B:G,4,0)</f>
        <v>tkm</v>
      </c>
      <c r="F36" s="249">
        <f>F35*1.6*2</f>
        <v>240</v>
      </c>
      <c r="G36" s="221">
        <f>VLOOKUP(B36,'CPU serviços'!B:G,5,0)</f>
        <v>1.2</v>
      </c>
      <c r="H36" s="222">
        <f t="shared" si="3"/>
        <v>1.5145820689655172</v>
      </c>
      <c r="I36" s="223">
        <f t="shared" si="8"/>
        <v>363.5</v>
      </c>
      <c r="J36" s="299">
        <f t="shared" si="7"/>
        <v>2.3170111002998096E-3</v>
      </c>
      <c r="K36" s="150"/>
    </row>
    <row r="37" spans="1:11" ht="22.5" customHeight="1" x14ac:dyDescent="0.25">
      <c r="A37" s="193" t="s">
        <v>597</v>
      </c>
      <c r="B37" s="191">
        <v>4915774</v>
      </c>
      <c r="C37" s="198" t="s">
        <v>14</v>
      </c>
      <c r="D37" s="197" t="str">
        <f>VLOOKUP(B37,'CPU serviços'!B:G,3,0)</f>
        <v>Recomposição de erosão em corte ou aterro com material de jazida</v>
      </c>
      <c r="E37" s="198" t="str">
        <f>VLOOKUP(B37,'CPU serviços'!B:G,4,0)</f>
        <v>m³</v>
      </c>
      <c r="F37" s="247">
        <f>F35</f>
        <v>75</v>
      </c>
      <c r="G37" s="221">
        <f>VLOOKUP(B37,'CPU serviços'!B:G,5,0)</f>
        <v>23.08</v>
      </c>
      <c r="H37" s="222">
        <f t="shared" si="3"/>
        <v>29.130461793103443</v>
      </c>
      <c r="I37" s="223">
        <f t="shared" si="8"/>
        <v>2184.7800000000002</v>
      </c>
      <c r="J37" s="299">
        <f t="shared" si="7"/>
        <v>1.3926160967573641E-2</v>
      </c>
      <c r="K37" s="150"/>
    </row>
    <row r="38" spans="1:11" ht="30" x14ac:dyDescent="0.25">
      <c r="A38" s="193" t="s">
        <v>598</v>
      </c>
      <c r="B38" s="191">
        <v>2004504</v>
      </c>
      <c r="C38" s="198" t="s">
        <v>14</v>
      </c>
      <c r="D38" s="197" t="str">
        <f>VLOOKUP(B38,'CPU serviços'!B:G,3,0)</f>
        <v xml:space="preserve">Escavação mecânica de vala para drenagem com valetadeira em material de 1ª categoria </v>
      </c>
      <c r="E38" s="198" t="str">
        <f>VLOOKUP(B38,'CPU serviços'!B:G,4,0)</f>
        <v>m³</v>
      </c>
      <c r="F38" s="247">
        <f>'MEMORIA DE CALCULO'!G34</f>
        <v>0.89999999999999991</v>
      </c>
      <c r="G38" s="221">
        <f>VLOOKUP(B38,'CPU serviços'!B:G,5,0)</f>
        <v>15.53</v>
      </c>
      <c r="H38" s="222">
        <f t="shared" si="3"/>
        <v>19.601216275862068</v>
      </c>
      <c r="I38" s="223">
        <f t="shared" si="8"/>
        <v>17.64</v>
      </c>
      <c r="J38" s="299">
        <f t="shared" si="7"/>
        <v>1.1244037361564964E-4</v>
      </c>
      <c r="K38" s="150"/>
    </row>
    <row r="39" spans="1:11" ht="30" x14ac:dyDescent="0.25">
      <c r="A39" s="193" t="s">
        <v>599</v>
      </c>
      <c r="B39" s="191">
        <v>2003799</v>
      </c>
      <c r="C39" s="198" t="s">
        <v>14</v>
      </c>
      <c r="D39" s="197" t="str">
        <f>VLOOKUP(B39,'CPU serviços'!B:G,3,0)</f>
        <v>Canaleta meia cana D = 0,30 m assente sobre lastro de areia - areia e brita comerciais - fornecimento e instalação</v>
      </c>
      <c r="E39" s="198" t="str">
        <f>VLOOKUP(B39,'CPU serviços'!B:G,4,0)</f>
        <v>m</v>
      </c>
      <c r="F39" s="247">
        <f>'MEMORIA DE CALCULO'!G35</f>
        <v>10</v>
      </c>
      <c r="G39" s="221">
        <f>VLOOKUP(B39,'CPU serviços'!B:G,5,0)</f>
        <v>60.44</v>
      </c>
      <c r="H39" s="222">
        <f t="shared" si="3"/>
        <v>76.284450206896551</v>
      </c>
      <c r="I39" s="223">
        <f t="shared" si="8"/>
        <v>762.84</v>
      </c>
      <c r="J39" s="299">
        <f t="shared" si="7"/>
        <v>4.8624724835012569E-3</v>
      </c>
      <c r="K39" s="150"/>
    </row>
    <row r="40" spans="1:11" ht="22.5" customHeight="1" x14ac:dyDescent="0.25">
      <c r="A40" s="272" t="s">
        <v>496</v>
      </c>
      <c r="B40" s="268"/>
      <c r="C40" s="294"/>
      <c r="D40" s="268" t="s">
        <v>297</v>
      </c>
      <c r="E40" s="268"/>
      <c r="F40" s="269"/>
      <c r="G40" s="438" t="s">
        <v>649</v>
      </c>
      <c r="H40" s="439"/>
      <c r="I40" s="357">
        <f>SUM(I42:I48)</f>
        <v>12169.92</v>
      </c>
      <c r="J40" s="299">
        <f t="shared" si="7"/>
        <v>7.7573149187787238E-2</v>
      </c>
      <c r="K40" s="150"/>
    </row>
    <row r="41" spans="1:11" ht="22.5" customHeight="1" x14ac:dyDescent="0.25">
      <c r="A41" s="228"/>
      <c r="B41" s="229"/>
      <c r="C41" s="230"/>
      <c r="D41" s="229" t="s">
        <v>270</v>
      </c>
      <c r="E41" s="229"/>
      <c r="F41" s="251"/>
      <c r="G41" s="221"/>
      <c r="H41" s="222"/>
      <c r="I41" s="223"/>
      <c r="J41" s="299">
        <f t="shared" si="7"/>
        <v>0</v>
      </c>
    </row>
    <row r="42" spans="1:11" ht="22.5" customHeight="1" x14ac:dyDescent="0.2">
      <c r="A42" s="231" t="s">
        <v>586</v>
      </c>
      <c r="B42" s="273">
        <v>1600989</v>
      </c>
      <c r="C42" s="209" t="s">
        <v>14</v>
      </c>
      <c r="D42" s="197" t="str">
        <f>VLOOKUP(B42,'CPU serviços'!B:G,3,0)</f>
        <v>Demolição de concreto simples com martelete</v>
      </c>
      <c r="E42" s="198" t="str">
        <f>VLOOKUP(B42,'CPU serviços'!B:G,4,0)</f>
        <v>m³</v>
      </c>
      <c r="F42" s="252">
        <f>'MEMORIA DE CALCULO'!G41</f>
        <v>2</v>
      </c>
      <c r="G42" s="221">
        <f>VLOOKUP(B42,'CPU serviços'!B:G,5,0)</f>
        <v>403.66</v>
      </c>
      <c r="H42" s="222">
        <f t="shared" ref="H42:H48" si="9">((G42*$I$7)+G42)</f>
        <v>509.48016496551725</v>
      </c>
      <c r="I42" s="223">
        <f t="shared" ref="I42:I48" si="10">ROUND(H42*F42,2)</f>
        <v>1018.96</v>
      </c>
      <c r="J42" s="299">
        <f t="shared" si="7"/>
        <v>6.4950251190137387E-3</v>
      </c>
    </row>
    <row r="43" spans="1:11" ht="30" x14ac:dyDescent="0.2">
      <c r="A43" s="231" t="s">
        <v>587</v>
      </c>
      <c r="B43" s="191">
        <v>1506055</v>
      </c>
      <c r="C43" s="209" t="s">
        <v>14</v>
      </c>
      <c r="D43" s="197" t="str">
        <f>VLOOKUP(B43,'CPU serviços'!B:G,3,0)</f>
        <v>Pedra argamassada com cimento e areia 1:3 - areia e pedra de mão comercial - fornecimento e assentamento</v>
      </c>
      <c r="E43" s="198" t="str">
        <f>VLOOKUP(B43,'CPU serviços'!B:G,4,0)</f>
        <v>m³</v>
      </c>
      <c r="F43" s="252">
        <f>'MEMORIA DE CALCULO'!G39+'MEMORIA DE CALCULO'!G40+'MEMORIA DE CALCULO'!G42</f>
        <v>6.8</v>
      </c>
      <c r="G43" s="221">
        <f>VLOOKUP(B43,'CPU serviços'!B:G,5,0)</f>
        <v>438.98</v>
      </c>
      <c r="H43" s="222">
        <f t="shared" si="9"/>
        <v>554.05936386206895</v>
      </c>
      <c r="I43" s="223">
        <f t="shared" si="10"/>
        <v>3767.6</v>
      </c>
      <c r="J43" s="299">
        <f t="shared" si="7"/>
        <v>2.4015326056367435E-2</v>
      </c>
    </row>
    <row r="44" spans="1:11" ht="25.5" customHeight="1" x14ac:dyDescent="0.2">
      <c r="A44" s="231" t="s">
        <v>588</v>
      </c>
      <c r="B44" s="191">
        <v>1106057</v>
      </c>
      <c r="C44" s="209" t="s">
        <v>14</v>
      </c>
      <c r="D44" s="197" t="str">
        <f>VLOOKUP(B44,'CPU serviços'!B:G,3,0)</f>
        <v>Concreto magro - confecção em betoneira e lançamento manual - areia e brita comerciais</v>
      </c>
      <c r="E44" s="198" t="str">
        <f>VLOOKUP(B44,'CPU serviços'!B:G,4,0)</f>
        <v>m³</v>
      </c>
      <c r="F44" s="252">
        <f>'MEMORIA DE CALCULO'!G43+'MEMORIA DE CALCULO'!G44</f>
        <v>3.6999999999999997</v>
      </c>
      <c r="G44" s="221">
        <f>VLOOKUP(B44,'CPU serviços'!B:G,5,0)</f>
        <v>477.58</v>
      </c>
      <c r="H44" s="222">
        <f t="shared" si="9"/>
        <v>602.77842041379301</v>
      </c>
      <c r="I44" s="223">
        <f t="shared" si="10"/>
        <v>2230.2800000000002</v>
      </c>
      <c r="J44" s="299">
        <f t="shared" si="7"/>
        <v>1.421618574078861E-2</v>
      </c>
    </row>
    <row r="45" spans="1:11" ht="45" x14ac:dyDescent="0.2">
      <c r="A45" s="231" t="s">
        <v>589</v>
      </c>
      <c r="B45" s="191">
        <v>97086</v>
      </c>
      <c r="C45" s="209" t="s">
        <v>10</v>
      </c>
      <c r="D45" s="197" t="str">
        <f>VLOOKUP(B45,'CPU serviços'!B:G,3,0)</f>
        <v>FABRICAÇÃO, MONTAGEM E DESMONTAGEM DE FORMA PARA RADIER, PISO DE CONCRETO OU LAJE SOBRE SOLO, EM MADEIRA SERRADA, 4 UTILIZAÇÕES. AF_09/2021</v>
      </c>
      <c r="E45" s="198" t="str">
        <f>VLOOKUP(B45,'CPU serviços'!B:G,4,0)</f>
        <v>m²</v>
      </c>
      <c r="F45" s="252">
        <f>'MEMORIA DE CALCULO'!G45</f>
        <v>3.6</v>
      </c>
      <c r="G45" s="221">
        <f>VLOOKUP(B45,'CPU serviços'!B:G,5,0)</f>
        <v>135.6</v>
      </c>
      <c r="H45" s="222">
        <f t="shared" ref="H45" si="11">((G45*$I$7)+G45)</f>
        <v>171.14777379310343</v>
      </c>
      <c r="I45" s="223">
        <f t="shared" ref="I45" si="12">ROUND(H45*F45,2)</f>
        <v>616.13</v>
      </c>
      <c r="J45" s="299"/>
    </row>
    <row r="46" spans="1:11" ht="30" x14ac:dyDescent="0.2">
      <c r="A46" s="231" t="s">
        <v>590</v>
      </c>
      <c r="B46" s="355">
        <v>2003799</v>
      </c>
      <c r="C46" s="209" t="s">
        <v>14</v>
      </c>
      <c r="D46" s="197" t="str">
        <f>VLOOKUP(B46,'CPU serviços'!B:G,3,0)</f>
        <v>Canaleta meia cana D = 0,30 m assente sobre lastro de areia - areia e brita comerciais - fornecimento e instalação</v>
      </c>
      <c r="E46" s="198" t="str">
        <f>VLOOKUP(B46,'CPU serviços'!B:G,4,0)</f>
        <v>m</v>
      </c>
      <c r="F46" s="247">
        <f>'MEMORIA DE CALCULO'!G47</f>
        <v>50</v>
      </c>
      <c r="G46" s="221">
        <f>VLOOKUP(B46,'CPU serviços'!B:G,5,0)</f>
        <v>60.44</v>
      </c>
      <c r="H46" s="222">
        <f t="shared" si="9"/>
        <v>76.284450206896551</v>
      </c>
      <c r="I46" s="223">
        <f t="shared" si="10"/>
        <v>3814.22</v>
      </c>
      <c r="J46" s="299">
        <f t="shared" ref="J46:J89" si="13">I46/$H$177</f>
        <v>2.4312489900923079E-2</v>
      </c>
    </row>
    <row r="47" spans="1:11" ht="30" x14ac:dyDescent="0.2">
      <c r="A47" s="231" t="s">
        <v>591</v>
      </c>
      <c r="B47" s="191">
        <v>2004504</v>
      </c>
      <c r="C47" s="209" t="s">
        <v>14</v>
      </c>
      <c r="D47" s="197" t="str">
        <f>VLOOKUP(B47,'CPU serviços'!B:G,3,0)</f>
        <v xml:space="preserve">Escavação mecânica de vala para drenagem com valetadeira em material de 1ª categoria </v>
      </c>
      <c r="E47" s="198" t="str">
        <f>VLOOKUP(B47,'CPU serviços'!B:G,4,0)</f>
        <v>m³</v>
      </c>
      <c r="F47" s="247">
        <f>F46*0.3*0.3</f>
        <v>4.5</v>
      </c>
      <c r="G47" s="221">
        <f>VLOOKUP(B47,'CPU serviços'!B:G,5,0)</f>
        <v>15.53</v>
      </c>
      <c r="H47" s="222">
        <f t="shared" si="9"/>
        <v>19.601216275862068</v>
      </c>
      <c r="I47" s="223">
        <f t="shared" si="10"/>
        <v>88.21</v>
      </c>
      <c r="J47" s="299">
        <f t="shared" si="13"/>
        <v>5.6226560978664701E-4</v>
      </c>
    </row>
    <row r="48" spans="1:11" ht="22.5" customHeight="1" x14ac:dyDescent="0.2">
      <c r="A48" s="231" t="s">
        <v>645</v>
      </c>
      <c r="B48" s="196">
        <v>4915712</v>
      </c>
      <c r="C48" s="209" t="s">
        <v>14</v>
      </c>
      <c r="D48" s="197" t="str">
        <f>VLOOKUP(B48,'CPU serviços'!B:G,3,0)</f>
        <v xml:space="preserve">Limpeza de bueiro </v>
      </c>
      <c r="E48" s="198" t="str">
        <f>VLOOKUP(B48,'CPU serviços'!B:G,4,0)</f>
        <v>m³</v>
      </c>
      <c r="F48" s="247">
        <f>'MEMORIA DE CALCULO'!G46</f>
        <v>24.310000000000002</v>
      </c>
      <c r="G48" s="221">
        <f>VLOOKUP(B48,'CPU serviços'!B:G,5,0)</f>
        <v>20.68</v>
      </c>
      <c r="H48" s="222">
        <f t="shared" si="9"/>
        <v>26.101297655172413</v>
      </c>
      <c r="I48" s="223">
        <f t="shared" si="10"/>
        <v>634.52</v>
      </c>
      <c r="J48" s="299">
        <f t="shared" si="13"/>
        <v>4.0445388813266439E-3</v>
      </c>
    </row>
    <row r="49" spans="1:10" ht="22.5" customHeight="1" x14ac:dyDescent="0.25">
      <c r="A49" s="272" t="s">
        <v>497</v>
      </c>
      <c r="B49" s="268"/>
      <c r="C49" s="294"/>
      <c r="D49" s="268" t="s">
        <v>308</v>
      </c>
      <c r="E49" s="268"/>
      <c r="F49" s="269"/>
      <c r="G49" s="438" t="s">
        <v>649</v>
      </c>
      <c r="H49" s="439"/>
      <c r="I49" s="357">
        <f>SUM(I51:I61)</f>
        <v>14182.610000000002</v>
      </c>
      <c r="J49" s="299">
        <f t="shared" si="13"/>
        <v>9.0402379095524316E-2</v>
      </c>
    </row>
    <row r="50" spans="1:10" ht="22.5" customHeight="1" x14ac:dyDescent="0.25">
      <c r="A50" s="211"/>
      <c r="B50" s="220"/>
      <c r="C50" s="191"/>
      <c r="D50" s="220" t="s">
        <v>270</v>
      </c>
      <c r="E50" s="220"/>
      <c r="F50" s="247"/>
      <c r="G50" s="220"/>
      <c r="H50" s="220"/>
      <c r="I50" s="232"/>
      <c r="J50" s="299">
        <f t="shared" si="13"/>
        <v>0</v>
      </c>
    </row>
    <row r="51" spans="1:10" ht="22.5" customHeight="1" x14ac:dyDescent="0.2">
      <c r="A51" s="211" t="s">
        <v>577</v>
      </c>
      <c r="B51" s="191">
        <v>1619004</v>
      </c>
      <c r="C51" s="209" t="s">
        <v>14</v>
      </c>
      <c r="D51" s="197" t="str">
        <f>VLOOKUP(B51,'CPU serviços'!B:G,3,0)</f>
        <v xml:space="preserve">Demolição mecânica de alvenaria com carregadeira de pneus </v>
      </c>
      <c r="E51" s="198" t="str">
        <f>VLOOKUP(B51,'CPU serviços'!B:G,4,0)</f>
        <v>m³</v>
      </c>
      <c r="F51" s="247">
        <f>'MEMORIA DE CALCULO'!G54</f>
        <v>6</v>
      </c>
      <c r="G51" s="221">
        <f>VLOOKUP(B51,'CPU serviços'!B:G,5,0)</f>
        <v>7.56</v>
      </c>
      <c r="H51" s="222">
        <f t="shared" ref="H51" si="14">((G51*$I$7)+G51)</f>
        <v>9.5418670344827579</v>
      </c>
      <c r="I51" s="223">
        <f t="shared" ref="I51" si="15">ROUND(H51*F51,2)</f>
        <v>57.25</v>
      </c>
      <c r="J51" s="299">
        <f t="shared" si="13"/>
        <v>3.6492128058367016E-4</v>
      </c>
    </row>
    <row r="52" spans="1:10" ht="22.5" customHeight="1" x14ac:dyDescent="0.2">
      <c r="A52" s="211" t="s">
        <v>578</v>
      </c>
      <c r="B52" s="191">
        <v>5914359</v>
      </c>
      <c r="C52" s="209" t="s">
        <v>14</v>
      </c>
      <c r="D52" s="197" t="str">
        <f>VLOOKUP(B52,'CPU serviços'!B:G,3,0)</f>
        <v>Transporte com caminhão basculante de 10 m³ - rodovia em leito natural</v>
      </c>
      <c r="E52" s="198" t="str">
        <f>VLOOKUP(B52,'CPU serviços'!B:G,4,0)</f>
        <v>tkm</v>
      </c>
      <c r="F52" s="247">
        <f>F51*2.2*1</f>
        <v>13.200000000000001</v>
      </c>
      <c r="G52" s="221">
        <f>VLOOKUP(B52,'CPU serviços'!B:G,5,0)</f>
        <v>1.2</v>
      </c>
      <c r="H52" s="222">
        <f t="shared" ref="H52:H59" si="16">((G52*$I$7)+G52)</f>
        <v>1.5145820689655172</v>
      </c>
      <c r="I52" s="223">
        <f t="shared" ref="I52:I59" si="17">ROUND(H52*F52,2)</f>
        <v>19.989999999999998</v>
      </c>
      <c r="J52" s="299">
        <f t="shared" si="13"/>
        <v>1.2741967508938981E-4</v>
      </c>
    </row>
    <row r="53" spans="1:10" ht="22.5" customHeight="1" x14ac:dyDescent="0.2">
      <c r="A53" s="211" t="s">
        <v>579</v>
      </c>
      <c r="B53" s="191">
        <v>4915774</v>
      </c>
      <c r="C53" s="209" t="s">
        <v>14</v>
      </c>
      <c r="D53" s="197" t="str">
        <f>VLOOKUP(B53,'CPU serviços'!B:G,3,0)</f>
        <v>Recomposição de erosão em corte ou aterro com material de jazida</v>
      </c>
      <c r="E53" s="198" t="str">
        <f>VLOOKUP(B53,'CPU serviços'!B:G,4,0)</f>
        <v>m³</v>
      </c>
      <c r="F53" s="247">
        <f>'MEMORIA DE CALCULO'!G53</f>
        <v>200</v>
      </c>
      <c r="G53" s="221">
        <f>VLOOKUP(B53,'CPU serviços'!B:G,5,0)</f>
        <v>23.08</v>
      </c>
      <c r="H53" s="222">
        <f t="shared" si="16"/>
        <v>29.130461793103443</v>
      </c>
      <c r="I53" s="223">
        <f t="shared" si="17"/>
        <v>5826.09</v>
      </c>
      <c r="J53" s="299">
        <f t="shared" si="13"/>
        <v>3.713649298857144E-2</v>
      </c>
    </row>
    <row r="54" spans="1:10" ht="22.5" customHeight="1" x14ac:dyDescent="0.2">
      <c r="A54" s="211" t="s">
        <v>580</v>
      </c>
      <c r="B54" s="191">
        <v>5914359</v>
      </c>
      <c r="C54" s="209" t="s">
        <v>14</v>
      </c>
      <c r="D54" s="197" t="str">
        <f>VLOOKUP(B54,'CPU serviços'!B:G,3,0)</f>
        <v>Transporte com caminhão basculante de 10 m³ - rodovia em leito natural</v>
      </c>
      <c r="E54" s="198" t="str">
        <f>VLOOKUP(B54,'CPU serviços'!B:G,4,0)</f>
        <v>tkm</v>
      </c>
      <c r="F54" s="247">
        <f>F53*1.6*2</f>
        <v>640</v>
      </c>
      <c r="G54" s="221">
        <f>VLOOKUP(B54,'CPU serviços'!B:G,5,0)</f>
        <v>1.2</v>
      </c>
      <c r="H54" s="222">
        <f t="shared" si="16"/>
        <v>1.5145820689655172</v>
      </c>
      <c r="I54" s="223">
        <f t="shared" si="17"/>
        <v>969.33</v>
      </c>
      <c r="J54" s="299">
        <f t="shared" si="13"/>
        <v>6.1786750202300266E-3</v>
      </c>
    </row>
    <row r="55" spans="1:10" ht="30" x14ac:dyDescent="0.2">
      <c r="A55" s="211" t="s">
        <v>581</v>
      </c>
      <c r="B55" s="191">
        <v>1506055</v>
      </c>
      <c r="C55" s="209" t="s">
        <v>14</v>
      </c>
      <c r="D55" s="197" t="str">
        <f>VLOOKUP(B55,'CPU serviços'!B:G,3,0)</f>
        <v>Pedra argamassada com cimento e areia 1:3 - areia e pedra de mão comercial - fornecimento e assentamento</v>
      </c>
      <c r="E55" s="198" t="str">
        <f>VLOOKUP(B55,'CPU serviços'!B:G,4,0)</f>
        <v>m³</v>
      </c>
      <c r="F55" s="247">
        <f>'MEMORIA DE CALCULO'!G54</f>
        <v>6</v>
      </c>
      <c r="G55" s="221">
        <f>VLOOKUP(B55,'CPU serviços'!B:G,5,0)</f>
        <v>438.98</v>
      </c>
      <c r="H55" s="222">
        <f t="shared" si="16"/>
        <v>554.05936386206895</v>
      </c>
      <c r="I55" s="223">
        <f t="shared" si="17"/>
        <v>3324.36</v>
      </c>
      <c r="J55" s="299">
        <f t="shared" si="13"/>
        <v>2.1190038573294843E-2</v>
      </c>
    </row>
    <row r="56" spans="1:10" ht="45" x14ac:dyDescent="0.2">
      <c r="A56" s="211" t="s">
        <v>582</v>
      </c>
      <c r="B56" s="191">
        <v>97086</v>
      </c>
      <c r="C56" s="209" t="s">
        <v>10</v>
      </c>
      <c r="D56" s="197" t="str">
        <f>VLOOKUP(B56,'CPU serviços'!B:G,3,0)</f>
        <v>FABRICAÇÃO, MONTAGEM E DESMONTAGEM DE FORMA PARA RADIER, PISO DE CONCRETO OU LAJE SOBRE SOLO, EM MADEIRA SERRADA, 4 UTILIZAÇÕES. AF_09/2021</v>
      </c>
      <c r="E56" s="198" t="str">
        <f>VLOOKUP(B56,'CPU serviços'!B:G,4,0)</f>
        <v>m²</v>
      </c>
      <c r="F56" s="247">
        <f>'MEMORIA DE CALCULO'!G57</f>
        <v>5.3999999999999995</v>
      </c>
      <c r="G56" s="221">
        <f>VLOOKUP(B56,'CPU serviços'!B:G,5,0)</f>
        <v>135.6</v>
      </c>
      <c r="H56" s="222">
        <f t="shared" ref="H56" si="18">((G56*$I$7)+G56)</f>
        <v>171.14777379310343</v>
      </c>
      <c r="I56" s="223">
        <f t="shared" ref="I56" si="19">ROUND(H56*F56,2)</f>
        <v>924.2</v>
      </c>
      <c r="J56" s="299">
        <f t="shared" si="13"/>
        <v>5.8910086902258163E-3</v>
      </c>
    </row>
    <row r="57" spans="1:10" ht="30" x14ac:dyDescent="0.2">
      <c r="A57" s="211" t="s">
        <v>583</v>
      </c>
      <c r="B57" s="191">
        <v>1505878</v>
      </c>
      <c r="C57" s="209" t="s">
        <v>14</v>
      </c>
      <c r="D57" s="197" t="str">
        <f>VLOOKUP(B57,'CPU serviços'!B:G,3,0)</f>
        <v>Enrocamento de pedra arrumada manualmente - pedra de mão produzida - confecção e assentamento</v>
      </c>
      <c r="E57" s="198" t="str">
        <f>VLOOKUP(B57,'CPU serviços'!B:G,4,0)</f>
        <v>m³</v>
      </c>
      <c r="F57" s="247">
        <f>'MEMORIA DE CALCULO'!G55</f>
        <v>10.5</v>
      </c>
      <c r="G57" s="221">
        <f>VLOOKUP(B57,'CPU serviços'!B:G,5,0)</f>
        <v>170.62</v>
      </c>
      <c r="H57" s="222">
        <f t="shared" si="16"/>
        <v>215.3483271724138</v>
      </c>
      <c r="I57" s="223">
        <f t="shared" si="17"/>
        <v>2261.16</v>
      </c>
      <c r="J57" s="299">
        <f t="shared" si="13"/>
        <v>1.4413020136324395E-2</v>
      </c>
    </row>
    <row r="58" spans="1:10" ht="22.5" customHeight="1" x14ac:dyDescent="0.2">
      <c r="A58" s="211" t="s">
        <v>584</v>
      </c>
      <c r="B58" s="191">
        <v>5914359</v>
      </c>
      <c r="C58" s="209" t="s">
        <v>14</v>
      </c>
      <c r="D58" s="197" t="str">
        <f>VLOOKUP(B58,'CPU serviços'!B:G,3,0)</f>
        <v>Transporte com caminhão basculante de 10 m³ - rodovia em leito natural</v>
      </c>
      <c r="E58" s="198" t="str">
        <f>VLOOKUP(B58,'CPU serviços'!B:G,4,0)</f>
        <v>tkm</v>
      </c>
      <c r="F58" s="247">
        <f>F57*1.8*10</f>
        <v>189.00000000000003</v>
      </c>
      <c r="G58" s="221">
        <f>VLOOKUP(B58,'CPU serviços'!B:G,5,0)</f>
        <v>1.2</v>
      </c>
      <c r="H58" s="222">
        <f t="shared" si="16"/>
        <v>1.5145820689655172</v>
      </c>
      <c r="I58" s="223">
        <f t="shared" si="17"/>
        <v>286.26</v>
      </c>
      <c r="J58" s="299">
        <f t="shared" si="13"/>
        <v>1.8246701446267496E-3</v>
      </c>
    </row>
    <row r="59" spans="1:10" ht="22.5" customHeight="1" x14ac:dyDescent="0.2">
      <c r="A59" s="211" t="s">
        <v>585</v>
      </c>
      <c r="B59" s="196">
        <v>4800412</v>
      </c>
      <c r="C59" s="209" t="s">
        <v>14</v>
      </c>
      <c r="D59" s="197" t="str">
        <f>VLOOKUP(B59,'CPU serviços'!B:G,3,0)</f>
        <v xml:space="preserve">Raspagem e limpeza de terreno plano </v>
      </c>
      <c r="E59" s="198" t="str">
        <f>VLOOKUP(B59,'CPU serviços'!B:G,4,0)</f>
        <v>m²</v>
      </c>
      <c r="F59" s="247">
        <f>'MEMORIA DE CALCULO'!G56</f>
        <v>37.5</v>
      </c>
      <c r="G59" s="221">
        <f>VLOOKUP(B59,'CPU serviços'!B:G,5,0)</f>
        <v>4.2</v>
      </c>
      <c r="H59" s="222">
        <f t="shared" si="16"/>
        <v>5.3010372413793103</v>
      </c>
      <c r="I59" s="223">
        <f t="shared" si="17"/>
        <v>198.79</v>
      </c>
      <c r="J59" s="299">
        <f t="shared" si="13"/>
        <v>1.2671214212616208E-3</v>
      </c>
    </row>
    <row r="60" spans="1:10" ht="22.5" customHeight="1" x14ac:dyDescent="0.25">
      <c r="A60" s="211"/>
      <c r="B60" s="220"/>
      <c r="C60" s="196"/>
      <c r="D60" s="220" t="s">
        <v>275</v>
      </c>
      <c r="E60" s="220"/>
      <c r="F60" s="247"/>
      <c r="G60" s="220"/>
      <c r="H60" s="220"/>
      <c r="I60" s="232"/>
      <c r="J60" s="299">
        <f t="shared" si="13"/>
        <v>0</v>
      </c>
    </row>
    <row r="61" spans="1:10" ht="30" x14ac:dyDescent="0.25">
      <c r="A61" s="211" t="s">
        <v>643</v>
      </c>
      <c r="B61" s="191">
        <v>98529</v>
      </c>
      <c r="C61" s="196" t="s">
        <v>10</v>
      </c>
      <c r="D61" s="197" t="str">
        <f>VLOOKUP(B61,'CPU serviços'!B:G,3,0)</f>
        <v>CORTE RASO E RECORTE DE ÁRVORE COM DIÂMETRO DE TRONCO MAIOR OU IGUAL A 0,20 M E MENOR QUE 0,40 M.AF_05/2018</v>
      </c>
      <c r="E61" s="198" t="str">
        <f>VLOOKUP(B61,'CPU serviços'!B:G,4,0)</f>
        <v>UN</v>
      </c>
      <c r="F61" s="247">
        <f>'MEMORIA DE CALCULO'!G59</f>
        <v>4</v>
      </c>
      <c r="G61" s="221">
        <f>VLOOKUP(B61,'CPU serviços'!B:G,5,0)</f>
        <v>62.43</v>
      </c>
      <c r="H61" s="222">
        <f t="shared" ref="H61" si="20">((G61*$I$7)+G61)</f>
        <v>78.796132137931039</v>
      </c>
      <c r="I61" s="223">
        <f t="shared" ref="I61" si="21">ROUND(H61*F61,2)</f>
        <v>315.18</v>
      </c>
      <c r="J61" s="299">
        <f t="shared" si="13"/>
        <v>2.009011165316352E-3</v>
      </c>
    </row>
    <row r="62" spans="1:10" ht="22.5" customHeight="1" x14ac:dyDescent="0.25">
      <c r="A62" s="272" t="s">
        <v>498</v>
      </c>
      <c r="B62" s="268"/>
      <c r="C62" s="294"/>
      <c r="D62" s="268" t="s">
        <v>315</v>
      </c>
      <c r="E62" s="268"/>
      <c r="F62" s="269"/>
      <c r="G62" s="438" t="s">
        <v>649</v>
      </c>
      <c r="H62" s="439"/>
      <c r="I62" s="357">
        <f>SUM(I64:I75)</f>
        <v>31799.019999999997</v>
      </c>
      <c r="J62" s="299">
        <f t="shared" si="13"/>
        <v>0.20269238602106093</v>
      </c>
    </row>
    <row r="63" spans="1:10" ht="22.5" customHeight="1" x14ac:dyDescent="0.25">
      <c r="A63" s="211"/>
      <c r="B63" s="220"/>
      <c r="C63" s="191"/>
      <c r="D63" s="220" t="s">
        <v>270</v>
      </c>
      <c r="E63" s="220"/>
      <c r="F63" s="247"/>
      <c r="G63" s="220"/>
      <c r="H63" s="220"/>
      <c r="I63" s="232"/>
      <c r="J63" s="299">
        <f t="shared" si="13"/>
        <v>0</v>
      </c>
    </row>
    <row r="64" spans="1:10" ht="22.5" customHeight="1" x14ac:dyDescent="0.2">
      <c r="A64" s="211" t="s">
        <v>567</v>
      </c>
      <c r="B64" s="196">
        <v>1619004</v>
      </c>
      <c r="C64" s="209" t="s">
        <v>14</v>
      </c>
      <c r="D64" s="197" t="str">
        <f>VLOOKUP(B64,'CPU serviços'!B:G,3,0)</f>
        <v xml:space="preserve">Demolição mecânica de alvenaria com carregadeira de pneus </v>
      </c>
      <c r="E64" s="198" t="str">
        <f>VLOOKUP(B64,'CPU serviços'!B:G,4,0)</f>
        <v>m³</v>
      </c>
      <c r="F64" s="247">
        <f>'MEMORIA DE CALCULO'!G63</f>
        <v>33.120000000000005</v>
      </c>
      <c r="G64" s="221">
        <f>VLOOKUP(B64,'CPU serviços'!B:G,5,0)</f>
        <v>7.56</v>
      </c>
      <c r="H64" s="222">
        <f t="shared" ref="H64" si="22">((G64*$I$7)+G64)</f>
        <v>9.5418670344827579</v>
      </c>
      <c r="I64" s="223">
        <f t="shared" ref="I64" si="23">ROUND(H64*F64,2)</f>
        <v>316.02999999999997</v>
      </c>
      <c r="J64" s="299">
        <f t="shared" si="13"/>
        <v>2.014429210530258E-3</v>
      </c>
    </row>
    <row r="65" spans="1:10" ht="22.5" customHeight="1" x14ac:dyDescent="0.2">
      <c r="A65" s="211" t="s">
        <v>571</v>
      </c>
      <c r="B65" s="191">
        <v>5914359</v>
      </c>
      <c r="C65" s="209" t="s">
        <v>14</v>
      </c>
      <c r="D65" s="197" t="str">
        <f>VLOOKUP(B65,'CPU serviços'!B:G,3,0)</f>
        <v>Transporte com caminhão basculante de 10 m³ - rodovia em leito natural</v>
      </c>
      <c r="E65" s="198" t="str">
        <f>VLOOKUP(B65,'CPU serviços'!B:G,4,0)</f>
        <v>tkm</v>
      </c>
      <c r="F65" s="247">
        <f>F64*2.2*1</f>
        <v>72.864000000000019</v>
      </c>
      <c r="G65" s="221">
        <f>VLOOKUP(B65,'CPU serviços'!B:G,5,0)</f>
        <v>1.2</v>
      </c>
      <c r="H65" s="222">
        <f t="shared" ref="H65:H73" si="24">((G65*$I$7)+G65)</f>
        <v>1.5145820689655172</v>
      </c>
      <c r="I65" s="223">
        <f t="shared" ref="I65:I73" si="25">ROUND(H65*F65,2)</f>
        <v>110.36</v>
      </c>
      <c r="J65" s="299">
        <f t="shared" si="13"/>
        <v>7.034534938901981E-4</v>
      </c>
    </row>
    <row r="66" spans="1:10" ht="24.75" customHeight="1" x14ac:dyDescent="0.2">
      <c r="A66" s="211" t="s">
        <v>572</v>
      </c>
      <c r="B66" s="191">
        <v>4016008</v>
      </c>
      <c r="C66" s="209" t="s">
        <v>14</v>
      </c>
      <c r="D66" s="197" t="str">
        <f>VLOOKUP(B66,'CPU serviços'!B:G,3,0)</f>
        <v>Escavação e carga de material de jazida com trator de 127 kW e carregadeira de 3,4 m³</v>
      </c>
      <c r="E66" s="198" t="str">
        <f>VLOOKUP(B66,'CPU serviços'!B:G,4,0)</f>
        <v>m³</v>
      </c>
      <c r="F66" s="247">
        <f>'MEMORIA DE CALCULO'!G64</f>
        <v>162</v>
      </c>
      <c r="G66" s="221">
        <f>VLOOKUP(B66,'CPU serviços'!B:G,5,0)</f>
        <v>3.72</v>
      </c>
      <c r="H66" s="222">
        <f t="shared" si="24"/>
        <v>4.6952044137931033</v>
      </c>
      <c r="I66" s="223">
        <f t="shared" si="25"/>
        <v>760.62</v>
      </c>
      <c r="J66" s="299">
        <f t="shared" si="13"/>
        <v>4.8483218242367024E-3</v>
      </c>
    </row>
    <row r="67" spans="1:10" ht="22.5" customHeight="1" x14ac:dyDescent="0.2">
      <c r="A67" s="211" t="s">
        <v>569</v>
      </c>
      <c r="B67" s="191">
        <v>4915774</v>
      </c>
      <c r="C67" s="209" t="s">
        <v>14</v>
      </c>
      <c r="D67" s="197" t="str">
        <f>VLOOKUP(B67,'CPU serviços'!B:G,3,0)</f>
        <v>Recomposição de erosão em corte ou aterro com material de jazida</v>
      </c>
      <c r="E67" s="198" t="str">
        <f>VLOOKUP(B67,'CPU serviços'!B:G,4,0)</f>
        <v>m³</v>
      </c>
      <c r="F67" s="247">
        <f>F66</f>
        <v>162</v>
      </c>
      <c r="G67" s="221">
        <f>VLOOKUP(B67,'CPU serviços'!B:G,5,0)</f>
        <v>23.08</v>
      </c>
      <c r="H67" s="222">
        <f t="shared" si="24"/>
        <v>29.130461793103443</v>
      </c>
      <c r="I67" s="223">
        <f t="shared" si="25"/>
        <v>4719.13</v>
      </c>
      <c r="J67" s="299">
        <f t="shared" si="13"/>
        <v>3.0080540835647429E-2</v>
      </c>
    </row>
    <row r="68" spans="1:10" ht="26.25" customHeight="1" x14ac:dyDescent="0.2">
      <c r="A68" s="211" t="s">
        <v>568</v>
      </c>
      <c r="B68" s="191">
        <v>5914359</v>
      </c>
      <c r="C68" s="209" t="s">
        <v>14</v>
      </c>
      <c r="D68" s="197" t="str">
        <f>VLOOKUP(B68,'CPU serviços'!B:G,3,0)</f>
        <v>Transporte com caminhão basculante de 10 m³ - rodovia em leito natural</v>
      </c>
      <c r="E68" s="198" t="str">
        <f>VLOOKUP(B68,'CPU serviços'!B:G,4,0)</f>
        <v>tkm</v>
      </c>
      <c r="F68" s="247">
        <f>F66*1.6*1</f>
        <v>259.2</v>
      </c>
      <c r="G68" s="221">
        <f>VLOOKUP(B68,'CPU serviços'!B:G,5,0)</f>
        <v>1.2</v>
      </c>
      <c r="H68" s="222">
        <f t="shared" si="24"/>
        <v>1.5145820689655172</v>
      </c>
      <c r="I68" s="223">
        <f t="shared" si="25"/>
        <v>392.58</v>
      </c>
      <c r="J68" s="299">
        <f t="shared" si="13"/>
        <v>2.5023719883237941E-3</v>
      </c>
    </row>
    <row r="69" spans="1:10" ht="30" x14ac:dyDescent="0.2">
      <c r="A69" s="211" t="s">
        <v>573</v>
      </c>
      <c r="B69" s="196">
        <v>1506055</v>
      </c>
      <c r="C69" s="209" t="s">
        <v>14</v>
      </c>
      <c r="D69" s="197" t="str">
        <f>VLOOKUP(B69,'CPU serviços'!B:G,3,0)</f>
        <v>Pedra argamassada com cimento e areia 1:3 - areia e pedra de mão comercial - fornecimento e assentamento</v>
      </c>
      <c r="E69" s="198" t="str">
        <f>VLOOKUP(B69,'CPU serviços'!B:G,4,0)</f>
        <v>m³</v>
      </c>
      <c r="F69" s="247">
        <f>'MEMORIA DE CALCULO'!G65</f>
        <v>33.120000000000005</v>
      </c>
      <c r="G69" s="221">
        <f>VLOOKUP(B69,'CPU serviços'!B:G,5,0)</f>
        <v>438.98</v>
      </c>
      <c r="H69" s="222">
        <f t="shared" si="24"/>
        <v>554.05936386206895</v>
      </c>
      <c r="I69" s="223">
        <f t="shared" si="25"/>
        <v>18350.45</v>
      </c>
      <c r="J69" s="299">
        <f t="shared" si="13"/>
        <v>0.11696890328884908</v>
      </c>
    </row>
    <row r="70" spans="1:10" ht="45" x14ac:dyDescent="0.2">
      <c r="A70" s="211" t="s">
        <v>574</v>
      </c>
      <c r="B70" s="191">
        <v>97086</v>
      </c>
      <c r="C70" s="209" t="s">
        <v>10</v>
      </c>
      <c r="D70" s="197" t="str">
        <f>VLOOKUP(B70,'CPU serviços'!B:G,3,0)</f>
        <v>FABRICAÇÃO, MONTAGEM E DESMONTAGEM DE FORMA PARA RADIER, PISO DE CONCRETO OU LAJE SOBRE SOLO, EM MADEIRA SERRADA, 4 UTILIZAÇÕES. AF_09/2021</v>
      </c>
      <c r="E70" s="198" t="str">
        <f>VLOOKUP(B70,'CPU serviços'!B:G,4,0)</f>
        <v>m²</v>
      </c>
      <c r="F70" s="247">
        <f>'MEMORIA DE CALCULO'!G70</f>
        <v>8.48</v>
      </c>
      <c r="G70" s="221">
        <f>VLOOKUP(B70,'CPU serviços'!B:G,5,0)</f>
        <v>135.6</v>
      </c>
      <c r="H70" s="222">
        <f t="shared" ref="H70" si="26">((G70*$I$7)+G70)</f>
        <v>171.14777379310343</v>
      </c>
      <c r="I70" s="223">
        <f t="shared" ref="I70" si="27">ROUND(H70*F70,2)</f>
        <v>1451.33</v>
      </c>
      <c r="J70" s="299">
        <f t="shared" si="13"/>
        <v>9.2510253650567326E-3</v>
      </c>
    </row>
    <row r="71" spans="1:10" ht="28.5" customHeight="1" x14ac:dyDescent="0.2">
      <c r="A71" s="211" t="s">
        <v>575</v>
      </c>
      <c r="B71" s="191">
        <v>1106057</v>
      </c>
      <c r="C71" s="209" t="s">
        <v>14</v>
      </c>
      <c r="D71" s="197" t="str">
        <f>VLOOKUP(B71,'CPU serviços'!B:G,3,0)</f>
        <v>Concreto magro - confecção em betoneira e lançamento manual - areia e brita comerciais</v>
      </c>
      <c r="E71" s="198" t="str">
        <f>VLOOKUP(B71,'CPU serviços'!B:G,4,0)</f>
        <v>m³</v>
      </c>
      <c r="F71" s="247">
        <f>'MEMORIA DE CALCULO'!G67</f>
        <v>6.75</v>
      </c>
      <c r="G71" s="221">
        <f>VLOOKUP(B71,'CPU serviços'!B:G,5,0)</f>
        <v>477.58</v>
      </c>
      <c r="H71" s="222">
        <f t="shared" si="24"/>
        <v>602.77842041379301</v>
      </c>
      <c r="I71" s="223">
        <f t="shared" si="25"/>
        <v>4068.75</v>
      </c>
      <c r="J71" s="299">
        <f t="shared" si="13"/>
        <v>2.5934907604800137E-2</v>
      </c>
    </row>
    <row r="72" spans="1:10" ht="22.5" customHeight="1" x14ac:dyDescent="0.2">
      <c r="A72" s="211" t="s">
        <v>570</v>
      </c>
      <c r="B72" s="196">
        <v>4800412</v>
      </c>
      <c r="C72" s="209" t="s">
        <v>14</v>
      </c>
      <c r="D72" s="197" t="str">
        <f>VLOOKUP(B72,'CPU serviços'!B:G,3,0)</f>
        <v xml:space="preserve">Raspagem e limpeza de terreno plano </v>
      </c>
      <c r="E72" s="198" t="str">
        <f>VLOOKUP(B72,'CPU serviços'!B:G,4,0)</f>
        <v>m²</v>
      </c>
      <c r="F72" s="247">
        <f>'MEMORIA DE CALCULO'!G68</f>
        <v>54.750000000000007</v>
      </c>
      <c r="G72" s="221">
        <f>VLOOKUP(B72,'CPU serviços'!B:G,5,0)</f>
        <v>4.2</v>
      </c>
      <c r="H72" s="222">
        <f t="shared" si="24"/>
        <v>5.3010372413793103</v>
      </c>
      <c r="I72" s="223">
        <f t="shared" si="25"/>
        <v>290.23</v>
      </c>
      <c r="J72" s="299">
        <f t="shared" si="13"/>
        <v>1.8499756028611109E-3</v>
      </c>
    </row>
    <row r="73" spans="1:10" ht="30" x14ac:dyDescent="0.25">
      <c r="A73" s="211" t="s">
        <v>576</v>
      </c>
      <c r="B73" s="191">
        <v>98529</v>
      </c>
      <c r="C73" s="196" t="s">
        <v>10</v>
      </c>
      <c r="D73" s="197" t="str">
        <f>VLOOKUP(B73,'CPU serviços'!B:G,3,0)</f>
        <v>CORTE RASO E RECORTE DE ÁRVORE COM DIÂMETRO DE TRONCO MAIOR OU IGUAL A 0,20 M E MENOR QUE 0,40 M.AF_05/2018</v>
      </c>
      <c r="E73" s="198" t="str">
        <f>VLOOKUP(B73,'CPU serviços'!B:G,4,0)</f>
        <v>UN</v>
      </c>
      <c r="F73" s="247">
        <f>'MEMORIA DE CALCULO'!G69</f>
        <v>8</v>
      </c>
      <c r="G73" s="221">
        <f>VLOOKUP(B73,'CPU serviços'!B:G,5,0)</f>
        <v>62.43</v>
      </c>
      <c r="H73" s="222">
        <f t="shared" si="24"/>
        <v>78.796132137931039</v>
      </c>
      <c r="I73" s="223">
        <f t="shared" si="25"/>
        <v>630.37</v>
      </c>
      <c r="J73" s="299">
        <f t="shared" si="13"/>
        <v>4.0180860723411033E-3</v>
      </c>
    </row>
    <row r="74" spans="1:10" ht="22.5" customHeight="1" x14ac:dyDescent="0.25">
      <c r="A74" s="211"/>
      <c r="B74" s="191"/>
      <c r="C74" s="191"/>
      <c r="D74" s="220" t="s">
        <v>275</v>
      </c>
      <c r="E74" s="198"/>
      <c r="F74" s="247"/>
      <c r="G74" s="220"/>
      <c r="H74" s="220"/>
      <c r="I74" s="232"/>
      <c r="J74" s="299">
        <f t="shared" si="13"/>
        <v>0</v>
      </c>
    </row>
    <row r="75" spans="1:10" ht="31.5" customHeight="1" x14ac:dyDescent="0.25">
      <c r="A75" s="211" t="s">
        <v>646</v>
      </c>
      <c r="B75" s="191">
        <v>98529</v>
      </c>
      <c r="C75" s="196" t="s">
        <v>10</v>
      </c>
      <c r="D75" s="197" t="str">
        <f>VLOOKUP(B75,'CPU serviços'!B:G,3,0)</f>
        <v>CORTE RASO E RECORTE DE ÁRVORE COM DIÂMETRO DE TRONCO MAIOR OU IGUAL A 0,20 M E MENOR QUE 0,40 M.AF_05/2018</v>
      </c>
      <c r="E75" s="198" t="str">
        <f>VLOOKUP(B75,'CPU serviços'!B:G,4,0)</f>
        <v>UN</v>
      </c>
      <c r="F75" s="247">
        <f>'MEMORIA DE CALCULO'!G72</f>
        <v>9</v>
      </c>
      <c r="G75" s="221">
        <f>VLOOKUP(B75,'CPU serviços'!B:G,5,0)</f>
        <v>62.43</v>
      </c>
      <c r="H75" s="222">
        <f t="shared" ref="H75" si="28">((G75*$I$7)+G75)</f>
        <v>78.796132137931039</v>
      </c>
      <c r="I75" s="223">
        <f t="shared" ref="I75" si="29">ROUND(H75*F75,2)</f>
        <v>709.17</v>
      </c>
      <c r="J75" s="299">
        <f t="shared" si="13"/>
        <v>4.5203707345243902E-3</v>
      </c>
    </row>
    <row r="76" spans="1:10" ht="22.5" customHeight="1" x14ac:dyDescent="0.25">
      <c r="A76" s="272" t="s">
        <v>499</v>
      </c>
      <c r="B76" s="268"/>
      <c r="C76" s="294"/>
      <c r="D76" s="268" t="s">
        <v>334</v>
      </c>
      <c r="E76" s="268"/>
      <c r="F76" s="269"/>
      <c r="G76" s="438" t="s">
        <v>649</v>
      </c>
      <c r="H76" s="439"/>
      <c r="I76" s="357">
        <f>SUM(I78:I84)</f>
        <v>723.0100000000001</v>
      </c>
      <c r="J76" s="299">
        <f t="shared" si="13"/>
        <v>4.6085892589484614E-3</v>
      </c>
    </row>
    <row r="77" spans="1:10" ht="22.5" customHeight="1" x14ac:dyDescent="0.25">
      <c r="A77" s="211"/>
      <c r="B77" s="220"/>
      <c r="C77" s="191"/>
      <c r="D77" s="220" t="s">
        <v>270</v>
      </c>
      <c r="E77" s="220"/>
      <c r="F77" s="247"/>
      <c r="G77" s="220"/>
      <c r="H77" s="220"/>
      <c r="I77" s="232"/>
      <c r="J77" s="299">
        <f t="shared" si="13"/>
        <v>0</v>
      </c>
    </row>
    <row r="78" spans="1:10" ht="22.5" customHeight="1" x14ac:dyDescent="0.25">
      <c r="A78" s="211" t="s">
        <v>561</v>
      </c>
      <c r="B78" s="196">
        <v>4114</v>
      </c>
      <c r="C78" s="191" t="s">
        <v>460</v>
      </c>
      <c r="D78" s="197" t="str">
        <f>VLOOKUP(B78,'CPU serviços'!B:G,3,0)</f>
        <v xml:space="preserve">TRATAMENTO DE TRINCAS (2,5cm) </v>
      </c>
      <c r="E78" s="198" t="str">
        <f>VLOOKUP(B78,'CPU serviços'!B:G,4,0)</f>
        <v>m</v>
      </c>
      <c r="F78" s="247">
        <f>'MEMORIA DE CALCULO'!G79</f>
        <v>8.5</v>
      </c>
      <c r="G78" s="221">
        <f>VLOOKUP(B78,'CPU serviços'!B:G,5,0)</f>
        <v>14.66</v>
      </c>
      <c r="H78" s="222">
        <f t="shared" ref="H78" si="30">((G78*$I$7)+G78)</f>
        <v>18.50314427586207</v>
      </c>
      <c r="I78" s="223">
        <f t="shared" ref="I78" si="31">ROUND(H78*F78,2)</f>
        <v>157.28</v>
      </c>
      <c r="J78" s="299">
        <f t="shared" si="13"/>
        <v>1.0025295896978104E-3</v>
      </c>
    </row>
    <row r="79" spans="1:10" ht="26.25" customHeight="1" x14ac:dyDescent="0.25">
      <c r="A79" s="211" t="s">
        <v>562</v>
      </c>
      <c r="B79" s="191">
        <v>1106057</v>
      </c>
      <c r="C79" s="191" t="s">
        <v>14</v>
      </c>
      <c r="D79" s="197" t="str">
        <f>VLOOKUP(B79,'CPU serviços'!B:G,3,0)</f>
        <v>Concreto magro - confecção em betoneira e lançamento manual - areia e brita comerciais</v>
      </c>
      <c r="E79" s="198" t="str">
        <f>VLOOKUP(B79,'CPU serviços'!B:G,4,0)</f>
        <v>m³</v>
      </c>
      <c r="F79" s="247">
        <f>'MEMORIA DE CALCULO'!G77</f>
        <v>0.22399999999999998</v>
      </c>
      <c r="G79" s="221">
        <f>VLOOKUP(B79,'CPU serviços'!B:G,5,0)</f>
        <v>477.58</v>
      </c>
      <c r="H79" s="222">
        <f t="shared" ref="H79:H84" si="32">((G79*$I$7)+G79)</f>
        <v>602.77842041379301</v>
      </c>
      <c r="I79" s="223">
        <f t="shared" ref="I79:I84" si="33">ROUND(H79*F79,2)</f>
        <v>135.02000000000001</v>
      </c>
      <c r="J79" s="299">
        <f t="shared" si="13"/>
        <v>8.6064054680187155E-4</v>
      </c>
    </row>
    <row r="80" spans="1:10" ht="30" x14ac:dyDescent="0.25">
      <c r="A80" s="211" t="s">
        <v>563</v>
      </c>
      <c r="B80" s="191">
        <v>98529</v>
      </c>
      <c r="C80" s="191" t="s">
        <v>10</v>
      </c>
      <c r="D80" s="197" t="str">
        <f>VLOOKUP(B80,'CPU serviços'!B:G,3,0)</f>
        <v>CORTE RASO E RECORTE DE ÁRVORE COM DIÂMETRO DE TRONCO MAIOR OU IGUAL A 0,20 M E MENOR QUE 0,40 M.AF_05/2018</v>
      </c>
      <c r="E80" s="198" t="str">
        <f>VLOOKUP(B80,'CPU serviços'!B:G,4,0)</f>
        <v>UN</v>
      </c>
      <c r="F80" s="247">
        <f>'MEMORIA DE CALCULO'!G80</f>
        <v>3</v>
      </c>
      <c r="G80" s="221">
        <f>VLOOKUP(B80,'CPU serviços'!B:G,5,0)</f>
        <v>62.43</v>
      </c>
      <c r="H80" s="222">
        <f t="shared" si="32"/>
        <v>78.796132137931039</v>
      </c>
      <c r="I80" s="223">
        <f t="shared" si="33"/>
        <v>236.39</v>
      </c>
      <c r="J80" s="299">
        <f t="shared" si="13"/>
        <v>1.5067902448414635E-3</v>
      </c>
    </row>
    <row r="81" spans="1:10" ht="22.5" customHeight="1" x14ac:dyDescent="0.25">
      <c r="A81" s="211" t="s">
        <v>564</v>
      </c>
      <c r="B81" s="191">
        <v>4915762</v>
      </c>
      <c r="C81" s="191" t="s">
        <v>14</v>
      </c>
      <c r="D81" s="197" t="str">
        <f>VLOOKUP(B81,'CPU serviços'!B:G,3,0)</f>
        <v>Remoção manual de vegetação daninha em frestas</v>
      </c>
      <c r="E81" s="198" t="str">
        <f>VLOOKUP(B81,'CPU serviços'!B:G,4,0)</f>
        <v>m</v>
      </c>
      <c r="F81" s="247">
        <f>'MEMORIA DE CALCULO'!G81</f>
        <v>10</v>
      </c>
      <c r="G81" s="221">
        <f>VLOOKUP(B81,'CPU serviços'!B:G,5,0)</f>
        <v>2.0699999999999998</v>
      </c>
      <c r="H81" s="222">
        <f t="shared" si="32"/>
        <v>2.6126540689655169</v>
      </c>
      <c r="I81" s="223">
        <f t="shared" si="33"/>
        <v>26.13</v>
      </c>
      <c r="J81" s="299">
        <f t="shared" si="13"/>
        <v>1.6655708404631094E-4</v>
      </c>
    </row>
    <row r="82" spans="1:10" ht="22.5" customHeight="1" x14ac:dyDescent="0.25">
      <c r="A82" s="211" t="s">
        <v>565</v>
      </c>
      <c r="B82" s="196">
        <v>4800412</v>
      </c>
      <c r="C82" s="191" t="s">
        <v>14</v>
      </c>
      <c r="D82" s="197" t="str">
        <f>VLOOKUP(B82,'CPU serviços'!B:G,3,0)</f>
        <v xml:space="preserve">Raspagem e limpeza de terreno plano </v>
      </c>
      <c r="E82" s="198" t="str">
        <f>VLOOKUP(B82,'CPU serviços'!B:G,4,0)</f>
        <v>m²</v>
      </c>
      <c r="F82" s="247">
        <f>'MEMORIA DE CALCULO'!G78</f>
        <v>2</v>
      </c>
      <c r="G82" s="221">
        <f>VLOOKUP(B82,'CPU serviços'!B:G,5,0)</f>
        <v>4.2</v>
      </c>
      <c r="H82" s="222">
        <f t="shared" ref="H82" si="34">((G82*$I$7)+G82)</f>
        <v>5.3010372413793103</v>
      </c>
      <c r="I82" s="223">
        <f t="shared" ref="I82" si="35">ROUND(H82*F82,2)</f>
        <v>10.6</v>
      </c>
      <c r="J82" s="299">
        <f t="shared" si="13"/>
        <v>6.7566210902828008E-5</v>
      </c>
    </row>
    <row r="83" spans="1:10" ht="22.5" customHeight="1" x14ac:dyDescent="0.25">
      <c r="A83" s="211"/>
      <c r="B83" s="220"/>
      <c r="C83" s="191"/>
      <c r="D83" s="220" t="s">
        <v>275</v>
      </c>
      <c r="E83" s="198"/>
      <c r="F83" s="247"/>
      <c r="G83" s="221"/>
      <c r="H83" s="222"/>
      <c r="I83" s="223"/>
      <c r="J83" s="299">
        <f t="shared" si="13"/>
        <v>0</v>
      </c>
    </row>
    <row r="84" spans="1:10" ht="30" x14ac:dyDescent="0.25">
      <c r="A84" s="211" t="s">
        <v>566</v>
      </c>
      <c r="B84" s="191">
        <v>98529</v>
      </c>
      <c r="C84" s="191" t="s">
        <v>10</v>
      </c>
      <c r="D84" s="197" t="str">
        <f>VLOOKUP(B84,'CPU serviços'!B:G,3,0)</f>
        <v>CORTE RASO E RECORTE DE ÁRVORE COM DIÂMETRO DE TRONCO MAIOR OU IGUAL A 0,20 M E MENOR QUE 0,40 M.AF_05/2018</v>
      </c>
      <c r="E84" s="198" t="str">
        <f>VLOOKUP(B84,'CPU serviços'!B:G,4,0)</f>
        <v>UN</v>
      </c>
      <c r="F84" s="247">
        <f>'MEMORIA DE CALCULO'!G83</f>
        <v>2</v>
      </c>
      <c r="G84" s="221">
        <f>VLOOKUP(B84,'CPU serviços'!B:G,5,0)</f>
        <v>62.43</v>
      </c>
      <c r="H84" s="222">
        <f t="shared" si="32"/>
        <v>78.796132137931039</v>
      </c>
      <c r="I84" s="223">
        <f t="shared" si="33"/>
        <v>157.59</v>
      </c>
      <c r="J84" s="299">
        <f t="shared" si="13"/>
        <v>1.004505582658176E-3</v>
      </c>
    </row>
    <row r="85" spans="1:10" ht="22.5" customHeight="1" x14ac:dyDescent="0.25">
      <c r="A85" s="272" t="s">
        <v>500</v>
      </c>
      <c r="B85" s="268"/>
      <c r="C85" s="294"/>
      <c r="D85" s="268" t="s">
        <v>342</v>
      </c>
      <c r="E85" s="268"/>
      <c r="F85" s="269"/>
      <c r="G85" s="438" t="s">
        <v>649</v>
      </c>
      <c r="H85" s="439"/>
      <c r="I85" s="357">
        <f>SUM(I87:I98)</f>
        <v>9688.42</v>
      </c>
      <c r="J85" s="299">
        <f t="shared" si="13"/>
        <v>6.1755644248601603E-2</v>
      </c>
    </row>
    <row r="86" spans="1:10" ht="22.5" customHeight="1" x14ac:dyDescent="0.25">
      <c r="A86" s="211"/>
      <c r="B86" s="220"/>
      <c r="C86" s="191"/>
      <c r="D86" s="220" t="s">
        <v>270</v>
      </c>
      <c r="E86" s="220"/>
      <c r="F86" s="247"/>
      <c r="G86" s="220"/>
      <c r="H86" s="220"/>
      <c r="I86" s="232"/>
      <c r="J86" s="299">
        <f t="shared" si="13"/>
        <v>0</v>
      </c>
    </row>
    <row r="87" spans="1:10" ht="22.5" customHeight="1" x14ac:dyDescent="0.25">
      <c r="A87" s="211" t="s">
        <v>551</v>
      </c>
      <c r="B87" s="191">
        <v>4800412</v>
      </c>
      <c r="C87" s="191" t="s">
        <v>14</v>
      </c>
      <c r="D87" s="197" t="str">
        <f>VLOOKUP(B87,'CPU serviços'!B:G,3,0)</f>
        <v xml:space="preserve">Raspagem e limpeza de terreno plano </v>
      </c>
      <c r="E87" s="198" t="str">
        <f>VLOOKUP(B87,'CPU serviços'!B:G,4,0)</f>
        <v>m²</v>
      </c>
      <c r="F87" s="247">
        <f>'MEMORIA DE CALCULO'!G90</f>
        <v>9</v>
      </c>
      <c r="G87" s="221">
        <f>VLOOKUP(B87,'CPU serviços'!B:G,5,0)</f>
        <v>4.2</v>
      </c>
      <c r="H87" s="222">
        <f t="shared" ref="H87" si="36">((G87*$I$7)+G87)</f>
        <v>5.3010372413793103</v>
      </c>
      <c r="I87" s="223">
        <f t="shared" ref="I87" si="37">ROUND(H87*F87,2)</f>
        <v>47.71</v>
      </c>
      <c r="J87" s="299">
        <f t="shared" si="13"/>
        <v>3.0411169077112495E-4</v>
      </c>
    </row>
    <row r="88" spans="1:10" ht="30" customHeight="1" x14ac:dyDescent="0.25">
      <c r="A88" s="211" t="s">
        <v>552</v>
      </c>
      <c r="B88" s="191">
        <v>98529</v>
      </c>
      <c r="C88" s="191" t="s">
        <v>10</v>
      </c>
      <c r="D88" s="197" t="str">
        <f>VLOOKUP(B88,'CPU serviços'!B:G,3,0)</f>
        <v>CORTE RASO E RECORTE DE ÁRVORE COM DIÂMETRO DE TRONCO MAIOR OU IGUAL A 0,20 M E MENOR QUE 0,40 M.AF_05/2018</v>
      </c>
      <c r="E88" s="198" t="str">
        <f>VLOOKUP(B88,'CPU serviços'!B:G,4,0)</f>
        <v>UN</v>
      </c>
      <c r="F88" s="247">
        <f>'MEMORIA DE CALCULO'!G91</f>
        <v>5</v>
      </c>
      <c r="G88" s="221">
        <f>VLOOKUP(B88,'CPU serviços'!B:G,5,0)</f>
        <v>62.43</v>
      </c>
      <c r="H88" s="222">
        <f t="shared" ref="H88:H98" si="38">((G88*$I$7)+G88)</f>
        <v>78.796132137931039</v>
      </c>
      <c r="I88" s="223">
        <f t="shared" ref="I88:I98" si="39">ROUND(H88*F88,2)</f>
        <v>393.98</v>
      </c>
      <c r="J88" s="299">
        <f t="shared" si="13"/>
        <v>2.5112958274996398E-3</v>
      </c>
    </row>
    <row r="89" spans="1:10" ht="22.5" customHeight="1" x14ac:dyDescent="0.25">
      <c r="A89" s="211" t="s">
        <v>553</v>
      </c>
      <c r="B89" s="191">
        <v>1106057</v>
      </c>
      <c r="C89" s="191" t="s">
        <v>14</v>
      </c>
      <c r="D89" s="197" t="str">
        <f>VLOOKUP(B89,'CPU serviços'!B:G,3,0)</f>
        <v>Concreto magro - confecção em betoneira e lançamento manual - areia e brita comerciais</v>
      </c>
      <c r="E89" s="198" t="str">
        <f>VLOOKUP(B89,'CPU serviços'!B:G,4,0)</f>
        <v>m³</v>
      </c>
      <c r="F89" s="247">
        <f>'MEMORIA DE CALCULO'!G87</f>
        <v>0.6</v>
      </c>
      <c r="G89" s="221">
        <f>VLOOKUP(B89,'CPU serviços'!B:G,5,0)</f>
        <v>477.58</v>
      </c>
      <c r="H89" s="222">
        <f t="shared" si="38"/>
        <v>602.77842041379301</v>
      </c>
      <c r="I89" s="223">
        <f t="shared" si="39"/>
        <v>361.67</v>
      </c>
      <c r="J89" s="299">
        <f t="shared" si="13"/>
        <v>2.3053463676628119E-3</v>
      </c>
    </row>
    <row r="90" spans="1:10" ht="45" x14ac:dyDescent="0.2">
      <c r="A90" s="211"/>
      <c r="B90" s="191">
        <v>97086</v>
      </c>
      <c r="C90" s="209" t="s">
        <v>10</v>
      </c>
      <c r="D90" s="197" t="str">
        <f>VLOOKUP(B90,'CPU serviços'!B:G,3,0)</f>
        <v>FABRICAÇÃO, MONTAGEM E DESMONTAGEM DE FORMA PARA RADIER, PISO DE CONCRETO OU LAJE SOBRE SOLO, EM MADEIRA SERRADA, 4 UTILIZAÇÕES. AF_09/2021</v>
      </c>
      <c r="E90" s="198" t="str">
        <f>VLOOKUP(B90,'CPU serviços'!B:G,4,0)</f>
        <v>m²</v>
      </c>
      <c r="F90" s="247">
        <f>'MEMORIA DE CALCULO'!G88</f>
        <v>2.4</v>
      </c>
      <c r="G90" s="221">
        <f>VLOOKUP(B90,'CPU serviços'!B:G,5,0)</f>
        <v>135.6</v>
      </c>
      <c r="H90" s="222">
        <f t="shared" ref="H90" si="40">((G90*$I$7)+G90)</f>
        <v>171.14777379310343</v>
      </c>
      <c r="I90" s="223">
        <f t="shared" ref="I90" si="41">ROUND(H90*F90,2)</f>
        <v>410.75</v>
      </c>
      <c r="J90" s="299"/>
    </row>
    <row r="91" spans="1:10" ht="32.25" customHeight="1" x14ac:dyDescent="0.25">
      <c r="A91" s="211" t="s">
        <v>554</v>
      </c>
      <c r="B91" s="199">
        <v>1106165</v>
      </c>
      <c r="C91" s="191" t="s">
        <v>14</v>
      </c>
      <c r="D91" s="197" t="str">
        <f>VLOOKUP(B91,'CPU serviços'!B:G,3,0)</f>
        <v>Concreto ciclópico fck = 20 MPa - confecção em betoneira e lançamento manual - areia, brita e pedra de mão comerciais</v>
      </c>
      <c r="E91" s="198" t="str">
        <f>VLOOKUP(B91,'CPU serviços'!B:G,4,0)</f>
        <v>m³</v>
      </c>
      <c r="F91" s="247">
        <f>'MEMORIA DE CALCULO'!G89</f>
        <v>1.425</v>
      </c>
      <c r="G91" s="221">
        <f>VLOOKUP(B91,'CPU serviços'!B:G,5,0)</f>
        <v>419.45</v>
      </c>
      <c r="H91" s="222">
        <f t="shared" si="38"/>
        <v>529.40954068965516</v>
      </c>
      <c r="I91" s="223">
        <f t="shared" si="39"/>
        <v>754.41</v>
      </c>
      <c r="J91" s="299">
        <f t="shared" ref="J91:J138" si="42">I91/$H$177</f>
        <v>4.8087382233209883E-3</v>
      </c>
    </row>
    <row r="92" spans="1:10" ht="30" customHeight="1" x14ac:dyDescent="0.25">
      <c r="A92" s="211" t="s">
        <v>555</v>
      </c>
      <c r="B92" s="191">
        <v>4915762</v>
      </c>
      <c r="C92" s="191" t="s">
        <v>14</v>
      </c>
      <c r="D92" s="197" t="str">
        <f>VLOOKUP(B92,'CPU serviços'!B:G,3,0)</f>
        <v>Remoção manual de vegetação daninha em frestas</v>
      </c>
      <c r="E92" s="198" t="str">
        <f>VLOOKUP(B92,'CPU serviços'!B:G,4,0)</f>
        <v>m</v>
      </c>
      <c r="F92" s="247">
        <f>'MEMORIA DE CALCULO'!G92</f>
        <v>10</v>
      </c>
      <c r="G92" s="221">
        <f>VLOOKUP(B92,'CPU serviços'!B:G,5,0)</f>
        <v>2.0699999999999998</v>
      </c>
      <c r="H92" s="222">
        <f t="shared" si="38"/>
        <v>2.6126540689655169</v>
      </c>
      <c r="I92" s="223">
        <f t="shared" si="39"/>
        <v>26.13</v>
      </c>
      <c r="J92" s="299">
        <f t="shared" si="42"/>
        <v>1.6655708404631094E-4</v>
      </c>
    </row>
    <row r="93" spans="1:10" ht="22.5" customHeight="1" x14ac:dyDescent="0.25">
      <c r="A93" s="211"/>
      <c r="B93" s="220"/>
      <c r="C93" s="191"/>
      <c r="D93" s="220" t="s">
        <v>275</v>
      </c>
      <c r="E93" s="198"/>
      <c r="F93" s="247"/>
      <c r="G93" s="221"/>
      <c r="H93" s="222"/>
      <c r="I93" s="223"/>
      <c r="J93" s="299">
        <f t="shared" si="42"/>
        <v>0</v>
      </c>
    </row>
    <row r="94" spans="1:10" ht="22.5" customHeight="1" x14ac:dyDescent="0.25">
      <c r="A94" s="211" t="s">
        <v>556</v>
      </c>
      <c r="B94" s="191">
        <v>4016008</v>
      </c>
      <c r="C94" s="191" t="s">
        <v>14</v>
      </c>
      <c r="D94" s="197" t="str">
        <f>VLOOKUP(B94,'CPU serviços'!B:G,3,0)</f>
        <v>Escavação e carga de material de jazida com trator de 127 kW e carregadeira de 3,4 m³</v>
      </c>
      <c r="E94" s="198" t="str">
        <f>VLOOKUP(B94,'CPU serviços'!B:G,4,0)</f>
        <v>m³</v>
      </c>
      <c r="F94" s="247">
        <f>'MEMORIA DE CALCULO'!G95</f>
        <v>202.5</v>
      </c>
      <c r="G94" s="221">
        <f>VLOOKUP(B94,'CPU serviços'!B:G,5,0)</f>
        <v>3.72</v>
      </c>
      <c r="H94" s="222">
        <f t="shared" si="38"/>
        <v>4.6952044137931033</v>
      </c>
      <c r="I94" s="223">
        <f t="shared" si="39"/>
        <v>950.78</v>
      </c>
      <c r="J94" s="299">
        <f t="shared" si="42"/>
        <v>6.0604341511500768E-3</v>
      </c>
    </row>
    <row r="95" spans="1:10" ht="22.5" customHeight="1" x14ac:dyDescent="0.25">
      <c r="A95" s="211" t="s">
        <v>557</v>
      </c>
      <c r="B95" s="191">
        <v>5914359</v>
      </c>
      <c r="C95" s="191" t="s">
        <v>14</v>
      </c>
      <c r="D95" s="197" t="str">
        <f>VLOOKUP(B95,'CPU serviços'!B:G,3,0)</f>
        <v>Transporte com caminhão basculante de 10 m³ - rodovia em leito natural</v>
      </c>
      <c r="E95" s="198" t="str">
        <f>VLOOKUP(B95,'CPU serviços'!B:G,4,0)</f>
        <v>tkm</v>
      </c>
      <c r="F95" s="247">
        <f>F94*1.6*1</f>
        <v>324</v>
      </c>
      <c r="G95" s="221">
        <f>VLOOKUP(B95,'CPU serviços'!B:G,5,0)</f>
        <v>1.2</v>
      </c>
      <c r="H95" s="222">
        <f t="shared" si="38"/>
        <v>1.5145820689655172</v>
      </c>
      <c r="I95" s="223">
        <f t="shared" si="39"/>
        <v>490.72</v>
      </c>
      <c r="J95" s="299">
        <f t="shared" si="42"/>
        <v>3.1279331145505438E-3</v>
      </c>
    </row>
    <row r="96" spans="1:10" ht="22.5" customHeight="1" x14ac:dyDescent="0.25">
      <c r="A96" s="211" t="s">
        <v>558</v>
      </c>
      <c r="B96" s="191">
        <v>4915774</v>
      </c>
      <c r="C96" s="191" t="s">
        <v>14</v>
      </c>
      <c r="D96" s="197" t="str">
        <f>VLOOKUP(B96,'CPU serviços'!B:G,3,0)</f>
        <v>Recomposição de erosão em corte ou aterro com material de jazida</v>
      </c>
      <c r="E96" s="198" t="str">
        <f>VLOOKUP(B96,'CPU serviços'!B:G,4,0)</f>
        <v>m³</v>
      </c>
      <c r="F96" s="247">
        <f>F94</f>
        <v>202.5</v>
      </c>
      <c r="G96" s="221">
        <f>VLOOKUP(B96,'CPU serviços'!B:G,5,0)</f>
        <v>23.08</v>
      </c>
      <c r="H96" s="222">
        <f t="shared" si="38"/>
        <v>29.130461793103443</v>
      </c>
      <c r="I96" s="223">
        <f t="shared" si="39"/>
        <v>5898.92</v>
      </c>
      <c r="J96" s="299">
        <f t="shared" si="42"/>
        <v>3.7600723850840588E-2</v>
      </c>
    </row>
    <row r="97" spans="1:10" ht="22.5" customHeight="1" x14ac:dyDescent="0.25">
      <c r="A97" s="211" t="s">
        <v>559</v>
      </c>
      <c r="B97" s="191">
        <v>4800412</v>
      </c>
      <c r="C97" s="191" t="s">
        <v>14</v>
      </c>
      <c r="D97" s="197" t="str">
        <f>VLOOKUP(B97,'CPU serviços'!B:G,3,0)</f>
        <v xml:space="preserve">Raspagem e limpeza de terreno plano </v>
      </c>
      <c r="E97" s="198" t="str">
        <f>VLOOKUP(B97,'CPU serviços'!B:G,4,0)</f>
        <v>m²</v>
      </c>
      <c r="F97" s="247">
        <f>'MEMORIA DE CALCULO'!G94</f>
        <v>7.1999999999999993</v>
      </c>
      <c r="G97" s="221">
        <f>VLOOKUP(B97,'CPU serviços'!B:G,5,0)</f>
        <v>4.2</v>
      </c>
      <c r="H97" s="222">
        <f t="shared" si="38"/>
        <v>5.3010372413793103</v>
      </c>
      <c r="I97" s="223">
        <f t="shared" si="39"/>
        <v>38.17</v>
      </c>
      <c r="J97" s="299">
        <f t="shared" si="42"/>
        <v>2.4330210095857975E-4</v>
      </c>
    </row>
    <row r="98" spans="1:10" ht="30" x14ac:dyDescent="0.25">
      <c r="A98" s="211" t="s">
        <v>560</v>
      </c>
      <c r="B98" s="191">
        <v>98529</v>
      </c>
      <c r="C98" s="191" t="s">
        <v>10</v>
      </c>
      <c r="D98" s="197" t="str">
        <f>VLOOKUP(B98,'CPU serviços'!B:G,3,0)</f>
        <v>CORTE RASO E RECORTE DE ÁRVORE COM DIÂMETRO DE TRONCO MAIOR OU IGUAL A 0,20 M E MENOR QUE 0,40 M.AF_05/2018</v>
      </c>
      <c r="E98" s="198" t="str">
        <f>VLOOKUP(B98,'CPU serviços'!B:G,4,0)</f>
        <v>UN</v>
      </c>
      <c r="F98" s="247">
        <f>'MEMORIA DE CALCULO'!G96</f>
        <v>4</v>
      </c>
      <c r="G98" s="221">
        <f>VLOOKUP(B98,'CPU serviços'!B:G,5,0)</f>
        <v>62.43</v>
      </c>
      <c r="H98" s="222">
        <f t="shared" si="38"/>
        <v>78.796132137931039</v>
      </c>
      <c r="I98" s="223">
        <f t="shared" si="39"/>
        <v>315.18</v>
      </c>
      <c r="J98" s="299">
        <f t="shared" si="42"/>
        <v>2.009011165316352E-3</v>
      </c>
    </row>
    <row r="99" spans="1:10" ht="22.5" customHeight="1" x14ac:dyDescent="0.25">
      <c r="A99" s="272" t="s">
        <v>501</v>
      </c>
      <c r="B99" s="268"/>
      <c r="C99" s="294"/>
      <c r="D99" s="268" t="s">
        <v>354</v>
      </c>
      <c r="E99" s="268"/>
      <c r="F99" s="269"/>
      <c r="G99" s="438" t="s">
        <v>649</v>
      </c>
      <c r="H99" s="439"/>
      <c r="I99" s="357">
        <f>SUM(I101:I106)</f>
        <v>931.27</v>
      </c>
      <c r="J99" s="299">
        <f t="shared" si="42"/>
        <v>5.9360740780638344E-3</v>
      </c>
    </row>
    <row r="100" spans="1:10" ht="22.5" customHeight="1" x14ac:dyDescent="0.25">
      <c r="A100" s="211"/>
      <c r="B100" s="220"/>
      <c r="C100" s="191"/>
      <c r="D100" s="220" t="s">
        <v>270</v>
      </c>
      <c r="E100" s="220"/>
      <c r="F100" s="247"/>
      <c r="G100" s="220"/>
      <c r="H100" s="220"/>
      <c r="I100" s="232"/>
      <c r="J100" s="299">
        <f t="shared" si="42"/>
        <v>0</v>
      </c>
    </row>
    <row r="101" spans="1:10" ht="22.5" customHeight="1" x14ac:dyDescent="0.25">
      <c r="A101" s="211" t="s">
        <v>546</v>
      </c>
      <c r="B101" s="274">
        <v>1106057</v>
      </c>
      <c r="C101" s="191" t="s">
        <v>14</v>
      </c>
      <c r="D101" s="197" t="str">
        <f>VLOOKUP(B101,'CPU serviços'!B:G,3,0)</f>
        <v>Concreto magro - confecção em betoneira e lançamento manual - areia e brita comerciais</v>
      </c>
      <c r="E101" s="198" t="str">
        <f>VLOOKUP(B101,'CPU serviços'!B:G,4,0)</f>
        <v>m³</v>
      </c>
      <c r="F101" s="247">
        <f>'MEMORIA DE CALCULO'!G103</f>
        <v>0.53999999999999992</v>
      </c>
      <c r="G101" s="221">
        <f>VLOOKUP(B101,'CPU serviços'!B:G,5,0)</f>
        <v>477.58</v>
      </c>
      <c r="H101" s="222">
        <f t="shared" ref="H101" si="43">((G101*$I$7)+G101)</f>
        <v>602.77842041379301</v>
      </c>
      <c r="I101" s="223">
        <f t="shared" ref="I101" si="44">ROUND(H101*F101,2)</f>
        <v>325.5</v>
      </c>
      <c r="J101" s="299">
        <f t="shared" si="42"/>
        <v>2.0747926083840109E-3</v>
      </c>
    </row>
    <row r="102" spans="1:10" ht="22.5" customHeight="1" x14ac:dyDescent="0.25">
      <c r="A102" s="211" t="s">
        <v>547</v>
      </c>
      <c r="B102" s="191">
        <v>4800412</v>
      </c>
      <c r="C102" s="191" t="s">
        <v>14</v>
      </c>
      <c r="D102" s="197" t="str">
        <f>VLOOKUP(B102,'CPU serviços'!B:G,3,0)</f>
        <v xml:space="preserve">Raspagem e limpeza de terreno plano </v>
      </c>
      <c r="E102" s="198" t="str">
        <f>VLOOKUP(B102,'CPU serviços'!B:G,4,0)</f>
        <v>m²</v>
      </c>
      <c r="F102" s="247">
        <f>'MEMORIA DE CALCULO'!G104</f>
        <v>4</v>
      </c>
      <c r="G102" s="221">
        <f>VLOOKUP(B102,'CPU serviços'!B:G,5,0)</f>
        <v>4.2</v>
      </c>
      <c r="H102" s="222">
        <f t="shared" ref="H102:H106" si="45">((G102*$I$7)+G102)</f>
        <v>5.3010372413793103</v>
      </c>
      <c r="I102" s="223">
        <f t="shared" ref="I102:I106" si="46">ROUND(H102*F102,2)</f>
        <v>21.2</v>
      </c>
      <c r="J102" s="299">
        <f t="shared" si="42"/>
        <v>1.3513242180565602E-4</v>
      </c>
    </row>
    <row r="103" spans="1:10" ht="30" x14ac:dyDescent="0.25">
      <c r="A103" s="211" t="s">
        <v>548</v>
      </c>
      <c r="B103" s="191">
        <v>98529</v>
      </c>
      <c r="C103" s="191" t="s">
        <v>10</v>
      </c>
      <c r="D103" s="197" t="str">
        <f>VLOOKUP(B103,'CPU serviços'!B:G,3,0)</f>
        <v>CORTE RASO E RECORTE DE ÁRVORE COM DIÂMETRO DE TRONCO MAIOR OU IGUAL A 0,20 M E MENOR QUE 0,40 M.AF_05/2018</v>
      </c>
      <c r="E103" s="198" t="str">
        <f>VLOOKUP(B103,'CPU serviços'!B:G,4,0)</f>
        <v>UN</v>
      </c>
      <c r="F103" s="247">
        <f>'MEMORIA DE CALCULO'!G105</f>
        <v>4</v>
      </c>
      <c r="G103" s="221">
        <f>VLOOKUP(B103,'CPU serviços'!B:G,5,0)</f>
        <v>62.43</v>
      </c>
      <c r="H103" s="222">
        <f t="shared" si="45"/>
        <v>78.796132137931039</v>
      </c>
      <c r="I103" s="223">
        <f t="shared" si="46"/>
        <v>315.18</v>
      </c>
      <c r="J103" s="299">
        <f t="shared" si="42"/>
        <v>2.009011165316352E-3</v>
      </c>
    </row>
    <row r="104" spans="1:10" ht="22.5" customHeight="1" x14ac:dyDescent="0.25">
      <c r="A104" s="211"/>
      <c r="B104" s="158"/>
      <c r="C104" s="191"/>
      <c r="D104" s="220" t="s">
        <v>275</v>
      </c>
      <c r="E104" s="198"/>
      <c r="F104" s="247"/>
      <c r="G104" s="221"/>
      <c r="H104" s="222"/>
      <c r="I104" s="223"/>
      <c r="J104" s="299">
        <f t="shared" si="42"/>
        <v>0</v>
      </c>
    </row>
    <row r="105" spans="1:10" ht="22.5" customHeight="1" x14ac:dyDescent="0.25">
      <c r="A105" s="211" t="s">
        <v>549</v>
      </c>
      <c r="B105" s="191">
        <v>4800412</v>
      </c>
      <c r="C105" s="191" t="s">
        <v>14</v>
      </c>
      <c r="D105" s="197" t="str">
        <f>VLOOKUP(B105,'CPU serviços'!B:G,3,0)</f>
        <v xml:space="preserve">Raspagem e limpeza de terreno plano </v>
      </c>
      <c r="E105" s="198" t="str">
        <f>VLOOKUP(B105,'CPU serviços'!B:G,4,0)</f>
        <v>m²</v>
      </c>
      <c r="F105" s="247">
        <f>'MEMORIA DE CALCULO'!G108</f>
        <v>21.090000000000003</v>
      </c>
      <c r="G105" s="221">
        <f>VLOOKUP(B105,'CPU serviços'!B:G,5,0)</f>
        <v>4.2</v>
      </c>
      <c r="H105" s="222">
        <f t="shared" si="45"/>
        <v>5.3010372413793103</v>
      </c>
      <c r="I105" s="223">
        <f t="shared" si="46"/>
        <v>111.8</v>
      </c>
      <c r="J105" s="299">
        <f t="shared" si="42"/>
        <v>7.126322998996388E-4</v>
      </c>
    </row>
    <row r="106" spans="1:10" ht="30" x14ac:dyDescent="0.25">
      <c r="A106" s="211" t="s">
        <v>550</v>
      </c>
      <c r="B106" s="191">
        <v>98529</v>
      </c>
      <c r="C106" s="191" t="s">
        <v>10</v>
      </c>
      <c r="D106" s="197" t="str">
        <f>VLOOKUP(B106,'CPU serviços'!B:G,3,0)</f>
        <v>CORTE RASO E RECORTE DE ÁRVORE COM DIÂMETRO DE TRONCO MAIOR OU IGUAL A 0,20 M E MENOR QUE 0,40 M.AF_05/2018</v>
      </c>
      <c r="E106" s="198" t="str">
        <f>VLOOKUP(B106,'CPU serviços'!B:G,4,0)</f>
        <v>UN</v>
      </c>
      <c r="F106" s="247">
        <v>2</v>
      </c>
      <c r="G106" s="221">
        <f>VLOOKUP(B106,'CPU serviços'!B:G,5,0)</f>
        <v>62.43</v>
      </c>
      <c r="H106" s="222">
        <f t="shared" si="45"/>
        <v>78.796132137931039</v>
      </c>
      <c r="I106" s="223">
        <f t="shared" si="46"/>
        <v>157.59</v>
      </c>
      <c r="J106" s="299">
        <f t="shared" si="42"/>
        <v>1.004505582658176E-3</v>
      </c>
    </row>
    <row r="107" spans="1:10" ht="22.5" customHeight="1" x14ac:dyDescent="0.25">
      <c r="A107" s="272" t="s">
        <v>502</v>
      </c>
      <c r="B107" s="268"/>
      <c r="C107" s="294"/>
      <c r="D107" s="268" t="s">
        <v>364</v>
      </c>
      <c r="E107" s="268"/>
      <c r="F107" s="269"/>
      <c r="G107" s="438" t="s">
        <v>649</v>
      </c>
      <c r="H107" s="439"/>
      <c r="I107" s="357">
        <f>SUM(I109:I110)</f>
        <v>857.68000000000006</v>
      </c>
      <c r="J107" s="299">
        <f t="shared" si="42"/>
        <v>5.4669988459563707E-3</v>
      </c>
    </row>
    <row r="108" spans="1:10" ht="22.5" customHeight="1" x14ac:dyDescent="0.25">
      <c r="A108" s="211"/>
      <c r="B108" s="220"/>
      <c r="C108" s="191"/>
      <c r="D108" s="220" t="s">
        <v>270</v>
      </c>
      <c r="E108" s="220"/>
      <c r="F108" s="247"/>
      <c r="G108" s="220"/>
      <c r="H108" s="220"/>
      <c r="I108" s="232"/>
      <c r="J108" s="299">
        <f t="shared" si="42"/>
        <v>0</v>
      </c>
    </row>
    <row r="109" spans="1:10" ht="22.5" customHeight="1" x14ac:dyDescent="0.25">
      <c r="A109" s="211" t="s">
        <v>544</v>
      </c>
      <c r="B109" s="274">
        <v>1106057</v>
      </c>
      <c r="C109" s="191" t="s">
        <v>14</v>
      </c>
      <c r="D109" s="197" t="str">
        <f>VLOOKUP(B109,'CPU serviços'!B:G,3,0)</f>
        <v>Concreto magro - confecção em betoneira e lançamento manual - areia e brita comerciais</v>
      </c>
      <c r="E109" s="198" t="str">
        <f>VLOOKUP(B109,'CPU serviços'!B:G,4,0)</f>
        <v>m³</v>
      </c>
      <c r="F109" s="247">
        <f>'MEMORIA DE CALCULO'!G112</f>
        <v>0.9</v>
      </c>
      <c r="G109" s="221">
        <f>VLOOKUP(B109,'CPU serviços'!B:G,5,0)</f>
        <v>477.58</v>
      </c>
      <c r="H109" s="222">
        <f t="shared" ref="H109" si="47">((G109*$I$7)+G109)</f>
        <v>602.77842041379301</v>
      </c>
      <c r="I109" s="223">
        <f t="shared" ref="I109" si="48">ROUND(H109*F109,2)</f>
        <v>542.5</v>
      </c>
      <c r="J109" s="299">
        <f t="shared" si="42"/>
        <v>3.4579876806400183E-3</v>
      </c>
    </row>
    <row r="110" spans="1:10" ht="30.75" customHeight="1" x14ac:dyDescent="0.25">
      <c r="A110" s="211" t="s">
        <v>545</v>
      </c>
      <c r="B110" s="191">
        <v>98529</v>
      </c>
      <c r="C110" s="191" t="s">
        <v>10</v>
      </c>
      <c r="D110" s="197" t="str">
        <f>VLOOKUP(B110,'CPU serviços'!B:G,3,0)</f>
        <v>CORTE RASO E RECORTE DE ÁRVORE COM DIÂMETRO DE TRONCO MAIOR OU IGUAL A 0,20 M E MENOR QUE 0,40 M.AF_05/2018</v>
      </c>
      <c r="E110" s="198" t="str">
        <f>VLOOKUP(B110,'CPU serviços'!B:G,4,0)</f>
        <v>UN</v>
      </c>
      <c r="F110" s="247">
        <f>'MEMORIA DE CALCULO'!G113</f>
        <v>4</v>
      </c>
      <c r="G110" s="221">
        <f>VLOOKUP(B110,'CPU serviços'!B:G,5,0)</f>
        <v>62.43</v>
      </c>
      <c r="H110" s="222">
        <f t="shared" ref="H110" si="49">((G110*$I$7)+G110)</f>
        <v>78.796132137931039</v>
      </c>
      <c r="I110" s="223">
        <f t="shared" ref="I110" si="50">ROUND(H110*F110,2)</f>
        <v>315.18</v>
      </c>
      <c r="J110" s="299">
        <f t="shared" si="42"/>
        <v>2.009011165316352E-3</v>
      </c>
    </row>
    <row r="111" spans="1:10" ht="22.5" customHeight="1" x14ac:dyDescent="0.25">
      <c r="A111" s="272" t="s">
        <v>503</v>
      </c>
      <c r="B111" s="268"/>
      <c r="C111" s="294"/>
      <c r="D111" s="268" t="s">
        <v>369</v>
      </c>
      <c r="E111" s="268"/>
      <c r="F111" s="269"/>
      <c r="G111" s="438" t="s">
        <v>649</v>
      </c>
      <c r="H111" s="439"/>
      <c r="I111" s="357">
        <f>SUM(I113:I116)</f>
        <v>1587.78</v>
      </c>
      <c r="J111" s="299">
        <f t="shared" si="42"/>
        <v>1.0120780976159647E-2</v>
      </c>
    </row>
    <row r="112" spans="1:10" ht="22.5" customHeight="1" x14ac:dyDescent="0.25">
      <c r="A112" s="211"/>
      <c r="B112" s="220"/>
      <c r="C112" s="191"/>
      <c r="D112" s="220" t="s">
        <v>270</v>
      </c>
      <c r="E112" s="220"/>
      <c r="F112" s="247"/>
      <c r="G112" s="220"/>
      <c r="H112" s="220"/>
      <c r="I112" s="232"/>
      <c r="J112" s="299">
        <f t="shared" si="42"/>
        <v>0</v>
      </c>
    </row>
    <row r="113" spans="1:10" ht="22.5" customHeight="1" x14ac:dyDescent="0.25">
      <c r="A113" s="211" t="s">
        <v>541</v>
      </c>
      <c r="B113" s="274">
        <v>4915712</v>
      </c>
      <c r="C113" s="191" t="s">
        <v>14</v>
      </c>
      <c r="D113" s="197" t="str">
        <f>VLOOKUP(B113,'CPU serviços'!B:G,3,0)</f>
        <v xml:space="preserve">Limpeza de bueiro </v>
      </c>
      <c r="E113" s="198" t="str">
        <f>VLOOKUP(B113,'CPU serviços'!B:G,4,0)</f>
        <v>m³</v>
      </c>
      <c r="F113" s="247">
        <f>'MEMORIA DE CALCULO'!G119</f>
        <v>56.809999999999995</v>
      </c>
      <c r="G113" s="221">
        <f>VLOOKUP(B113,'CPU serviços'!B:G,5,0)</f>
        <v>20.68</v>
      </c>
      <c r="H113" s="222">
        <f t="shared" ref="H113" si="51">((G113*$I$7)+G113)</f>
        <v>26.101297655172413</v>
      </c>
      <c r="I113" s="223">
        <f t="shared" ref="I113" si="52">ROUND(H113*F113,2)</f>
        <v>1482.81</v>
      </c>
      <c r="J113" s="299">
        <f t="shared" si="42"/>
        <v>9.4516842630964527E-3</v>
      </c>
    </row>
    <row r="114" spans="1:10" ht="22.5" customHeight="1" x14ac:dyDescent="0.25">
      <c r="A114" s="211" t="s">
        <v>542</v>
      </c>
      <c r="B114" s="191">
        <v>4800412</v>
      </c>
      <c r="C114" s="191" t="s">
        <v>14</v>
      </c>
      <c r="D114" s="197" t="str">
        <f>VLOOKUP(B114,'CPU serviços'!B:G,3,0)</f>
        <v xml:space="preserve">Raspagem e limpeza de terreno plano </v>
      </c>
      <c r="E114" s="198" t="str">
        <f>VLOOKUP(B114,'CPU serviços'!B:G,4,0)</f>
        <v>m²</v>
      </c>
      <c r="F114" s="247">
        <f>'MEMORIA DE CALCULO'!G120</f>
        <v>14.6</v>
      </c>
      <c r="G114" s="221">
        <f>VLOOKUP(B114,'CPU serviços'!B:G,5,0)</f>
        <v>4.2</v>
      </c>
      <c r="H114" s="222">
        <f t="shared" ref="H114:H116" si="53">((G114*$I$7)+G114)</f>
        <v>5.3010372413793103</v>
      </c>
      <c r="I114" s="223">
        <f t="shared" ref="I114:I116" si="54">ROUND(H114*F114,2)</f>
        <v>77.400000000000006</v>
      </c>
      <c r="J114" s="299">
        <f t="shared" si="42"/>
        <v>4.9336082300744234E-4</v>
      </c>
    </row>
    <row r="115" spans="1:10" ht="22.5" customHeight="1" x14ac:dyDescent="0.25">
      <c r="A115" s="211"/>
      <c r="B115" s="220"/>
      <c r="C115" s="191"/>
      <c r="D115" s="220" t="s">
        <v>275</v>
      </c>
      <c r="E115" s="198"/>
      <c r="F115" s="247"/>
      <c r="G115" s="221"/>
      <c r="H115" s="222"/>
      <c r="I115" s="223"/>
      <c r="J115" s="299">
        <f t="shared" si="42"/>
        <v>0</v>
      </c>
    </row>
    <row r="116" spans="1:10" ht="22.5" customHeight="1" x14ac:dyDescent="0.25">
      <c r="A116" s="211" t="s">
        <v>543</v>
      </c>
      <c r="B116" s="191">
        <v>4800412</v>
      </c>
      <c r="C116" s="191" t="s">
        <v>14</v>
      </c>
      <c r="D116" s="197" t="str">
        <f>VLOOKUP(B116,'CPU serviços'!B:G,3,0)</f>
        <v xml:space="preserve">Raspagem e limpeza de terreno plano </v>
      </c>
      <c r="E116" s="198" t="str">
        <f>VLOOKUP(B116,'CPU serviços'!B:G,4,0)</f>
        <v>m²</v>
      </c>
      <c r="F116" s="247">
        <f>'MEMORIA DE CALCULO'!G123</f>
        <v>5.2</v>
      </c>
      <c r="G116" s="221">
        <f>VLOOKUP(B116,'CPU serviços'!B:G,5,0)</f>
        <v>4.2</v>
      </c>
      <c r="H116" s="222">
        <f t="shared" si="53"/>
        <v>5.3010372413793103</v>
      </c>
      <c r="I116" s="223">
        <f t="shared" si="54"/>
        <v>27.57</v>
      </c>
      <c r="J116" s="299">
        <f t="shared" si="42"/>
        <v>1.7573589005575173E-4</v>
      </c>
    </row>
    <row r="117" spans="1:10" ht="22.5" customHeight="1" x14ac:dyDescent="0.25">
      <c r="A117" s="272" t="s">
        <v>504</v>
      </c>
      <c r="B117" s="268"/>
      <c r="C117" s="294"/>
      <c r="D117" s="268" t="s">
        <v>379</v>
      </c>
      <c r="E117" s="268"/>
      <c r="F117" s="269"/>
      <c r="G117" s="438" t="s">
        <v>649</v>
      </c>
      <c r="H117" s="439"/>
      <c r="I117" s="357">
        <f>SUM(I119:I123)</f>
        <v>1514.09</v>
      </c>
      <c r="J117" s="299">
        <f t="shared" si="42"/>
        <v>9.6510683269681943E-3</v>
      </c>
    </row>
    <row r="118" spans="1:10" ht="22.5" customHeight="1" x14ac:dyDescent="0.25">
      <c r="A118" s="211"/>
      <c r="B118" s="220"/>
      <c r="C118" s="191"/>
      <c r="D118" s="220" t="s">
        <v>270</v>
      </c>
      <c r="E118" s="220"/>
      <c r="F118" s="247"/>
      <c r="G118" s="220"/>
      <c r="H118" s="220"/>
      <c r="I118" s="232"/>
      <c r="J118" s="299">
        <f t="shared" si="42"/>
        <v>0</v>
      </c>
    </row>
    <row r="119" spans="1:10" ht="22.5" customHeight="1" x14ac:dyDescent="0.25">
      <c r="A119" s="211" t="s">
        <v>537</v>
      </c>
      <c r="B119" s="191">
        <v>4800412</v>
      </c>
      <c r="C119" s="191" t="s">
        <v>14</v>
      </c>
      <c r="D119" s="197" t="str">
        <f>VLOOKUP(B119,'CPU serviços'!B:G,3,0)</f>
        <v xml:space="preserve">Raspagem e limpeza de terreno plano </v>
      </c>
      <c r="E119" s="198" t="str">
        <f>VLOOKUP(B119,'CPU serviços'!B:G,4,0)</f>
        <v>m²</v>
      </c>
      <c r="F119" s="247">
        <f>'MEMORIA DE CALCULO'!G128</f>
        <v>71.25</v>
      </c>
      <c r="G119" s="221">
        <f>VLOOKUP(B119,'CPU serviços'!B:G,5,0)</f>
        <v>4.2</v>
      </c>
      <c r="H119" s="222">
        <f t="shared" ref="H119" si="55">((G119*$I$7)+G119)</f>
        <v>5.3010372413793103</v>
      </c>
      <c r="I119" s="223">
        <f t="shared" ref="I119" si="56">ROUND(H119*F119,2)</f>
        <v>377.7</v>
      </c>
      <c r="J119" s="299">
        <f t="shared" si="42"/>
        <v>2.4075243262262395E-3</v>
      </c>
    </row>
    <row r="120" spans="1:10" ht="30" x14ac:dyDescent="0.25">
      <c r="A120" s="211" t="s">
        <v>538</v>
      </c>
      <c r="B120" s="191">
        <v>98529</v>
      </c>
      <c r="C120" s="191" t="s">
        <v>10</v>
      </c>
      <c r="D120" s="197" t="str">
        <f>VLOOKUP(B120,'CPU serviços'!B:G,3,0)</f>
        <v>CORTE RASO E RECORTE DE ÁRVORE COM DIÂMETRO DE TRONCO MAIOR OU IGUAL A 0,20 M E MENOR QUE 0,40 M.AF_05/2018</v>
      </c>
      <c r="E120" s="198" t="str">
        <f>VLOOKUP(B120,'CPU serviços'!B:G,4,0)</f>
        <v>UN</v>
      </c>
      <c r="F120" s="247">
        <v>8</v>
      </c>
      <c r="G120" s="221">
        <f>VLOOKUP(B120,'CPU serviços'!B:G,5,0)</f>
        <v>62.43</v>
      </c>
      <c r="H120" s="222">
        <f t="shared" ref="H120:H123" si="57">((G120*$I$7)+G120)</f>
        <v>78.796132137931039</v>
      </c>
      <c r="I120" s="223">
        <f t="shared" ref="I120:I123" si="58">ROUND(H120*F120,2)</f>
        <v>630.37</v>
      </c>
      <c r="J120" s="299">
        <f t="shared" si="42"/>
        <v>4.0180860723411033E-3</v>
      </c>
    </row>
    <row r="121" spans="1:10" ht="22.5" customHeight="1" x14ac:dyDescent="0.25">
      <c r="A121" s="211"/>
      <c r="B121" s="158"/>
      <c r="C121" s="191"/>
      <c r="D121" s="220" t="s">
        <v>275</v>
      </c>
      <c r="E121" s="198"/>
      <c r="F121" s="247"/>
      <c r="G121" s="221"/>
      <c r="H121" s="222"/>
      <c r="I121" s="223"/>
      <c r="J121" s="299">
        <f t="shared" si="42"/>
        <v>0</v>
      </c>
    </row>
    <row r="122" spans="1:10" ht="22.5" customHeight="1" x14ac:dyDescent="0.25">
      <c r="A122" s="211" t="s">
        <v>539</v>
      </c>
      <c r="B122" s="191">
        <v>4800412</v>
      </c>
      <c r="C122" s="191" t="s">
        <v>14</v>
      </c>
      <c r="D122" s="197" t="str">
        <f>VLOOKUP(B122,'CPU serviços'!B:G,3,0)</f>
        <v xml:space="preserve">Raspagem e limpeza de terreno plano </v>
      </c>
      <c r="E122" s="198" t="str">
        <f>VLOOKUP(B122,'CPU serviços'!B:G,4,0)</f>
        <v>m²</v>
      </c>
      <c r="F122" s="247">
        <f>'MEMORIA DE CALCULO'!G131</f>
        <v>36</v>
      </c>
      <c r="G122" s="221">
        <f>VLOOKUP(B122,'CPU serviços'!B:G,5,0)</f>
        <v>4.2</v>
      </c>
      <c r="H122" s="222">
        <f t="shared" si="57"/>
        <v>5.3010372413793103</v>
      </c>
      <c r="I122" s="223">
        <f t="shared" si="58"/>
        <v>190.84</v>
      </c>
      <c r="J122" s="299">
        <f t="shared" si="42"/>
        <v>1.2164467630844998E-3</v>
      </c>
    </row>
    <row r="123" spans="1:10" ht="30" x14ac:dyDescent="0.25">
      <c r="A123" s="211" t="s">
        <v>540</v>
      </c>
      <c r="B123" s="191">
        <v>98529</v>
      </c>
      <c r="C123" s="191" t="s">
        <v>10</v>
      </c>
      <c r="D123" s="197" t="str">
        <f>VLOOKUP(B123,'CPU serviços'!B:G,3,0)</f>
        <v>CORTE RASO E RECORTE DE ÁRVORE COM DIÂMETRO DE TRONCO MAIOR OU IGUAL A 0,20 M E MENOR QUE 0,40 M.AF_05/2018</v>
      </c>
      <c r="E123" s="198" t="str">
        <f>VLOOKUP(B123,'CPU serviços'!B:G,4,0)</f>
        <v>UN</v>
      </c>
      <c r="F123" s="247">
        <v>4</v>
      </c>
      <c r="G123" s="221">
        <f>VLOOKUP(B123,'CPU serviços'!B:G,5,0)</f>
        <v>62.43</v>
      </c>
      <c r="H123" s="222">
        <f t="shared" si="57"/>
        <v>78.796132137931039</v>
      </c>
      <c r="I123" s="223">
        <f t="shared" si="58"/>
        <v>315.18</v>
      </c>
      <c r="J123" s="299">
        <f t="shared" si="42"/>
        <v>2.009011165316352E-3</v>
      </c>
    </row>
    <row r="124" spans="1:10" ht="22.5" customHeight="1" x14ac:dyDescent="0.25">
      <c r="A124" s="272" t="s">
        <v>505</v>
      </c>
      <c r="B124" s="268"/>
      <c r="C124" s="294"/>
      <c r="D124" s="268" t="s">
        <v>389</v>
      </c>
      <c r="E124" s="268"/>
      <c r="F124" s="269"/>
      <c r="G124" s="438" t="s">
        <v>649</v>
      </c>
      <c r="H124" s="439"/>
      <c r="I124" s="357">
        <f>SUM(I126:I127)</f>
        <v>679.88</v>
      </c>
      <c r="J124" s="299">
        <f t="shared" si="42"/>
        <v>4.3336712706240291E-3</v>
      </c>
    </row>
    <row r="125" spans="1:10" ht="22.5" customHeight="1" x14ac:dyDescent="0.25">
      <c r="A125" s="211"/>
      <c r="B125" s="220"/>
      <c r="C125" s="191"/>
      <c r="D125" s="220" t="s">
        <v>270</v>
      </c>
      <c r="E125" s="220"/>
      <c r="F125" s="247"/>
      <c r="G125" s="220"/>
      <c r="H125" s="220"/>
      <c r="I125" s="232"/>
      <c r="J125" s="299">
        <f t="shared" si="42"/>
        <v>0</v>
      </c>
    </row>
    <row r="126" spans="1:10" ht="22.5" customHeight="1" x14ac:dyDescent="0.25">
      <c r="A126" s="211" t="s">
        <v>535</v>
      </c>
      <c r="B126" s="191">
        <v>4800412</v>
      </c>
      <c r="C126" s="191" t="s">
        <v>14</v>
      </c>
      <c r="D126" s="197" t="str">
        <f>VLOOKUP(B126,'CPU serviços'!B:G,3,0)</f>
        <v xml:space="preserve">Raspagem e limpeza de terreno plano </v>
      </c>
      <c r="E126" s="198" t="str">
        <f>VLOOKUP(B126,'CPU serviços'!B:G,4,0)</f>
        <v>m²</v>
      </c>
      <c r="F126" s="247">
        <f>'MEMORIA DE CALCULO'!G135</f>
        <v>15.75</v>
      </c>
      <c r="G126" s="221">
        <f>VLOOKUP(B126,'CPU serviços'!B:G,5,0)</f>
        <v>4.2</v>
      </c>
      <c r="H126" s="222">
        <f t="shared" ref="H126" si="59">((G126*$I$7)+G126)</f>
        <v>5.3010372413793103</v>
      </c>
      <c r="I126" s="223">
        <f t="shared" ref="I126" si="60">ROUND(H126*F126,2)</f>
        <v>83.49</v>
      </c>
      <c r="J126" s="299">
        <f t="shared" si="42"/>
        <v>5.3217952342236895E-4</v>
      </c>
    </row>
    <row r="127" spans="1:10" ht="30" x14ac:dyDescent="0.25">
      <c r="A127" s="211" t="s">
        <v>536</v>
      </c>
      <c r="B127" s="191">
        <v>2009619</v>
      </c>
      <c r="C127" s="191" t="s">
        <v>14</v>
      </c>
      <c r="D127" s="197" t="str">
        <f>VLOOKUP(B127,'CPU serviços'!B:G,3,0)</f>
        <v xml:space="preserve">Alvenaria de blocos de concreto 19 x 19 x 39 cm com espessura de 20 cm - areia comercial </v>
      </c>
      <c r="E127" s="198" t="str">
        <f>VLOOKUP(B127,'CPU serviços'!B:G,4,0)</f>
        <v>m²</v>
      </c>
      <c r="F127" s="247">
        <f>'MEMORIA DE CALCULO'!G137</f>
        <v>4</v>
      </c>
      <c r="G127" s="221">
        <f>VLOOKUP(B127,'CPU serviços'!B:G,5,0)</f>
        <v>118.13</v>
      </c>
      <c r="H127" s="222">
        <f t="shared" ref="H127" si="61">((G127*$I$7)+G127)</f>
        <v>149.09798317241379</v>
      </c>
      <c r="I127" s="223">
        <f t="shared" ref="I127" si="62">ROUND(H127*F127,2)</f>
        <v>596.39</v>
      </c>
      <c r="J127" s="299">
        <f t="shared" si="42"/>
        <v>3.8014917472016601E-3</v>
      </c>
    </row>
    <row r="128" spans="1:10" ht="22.5" customHeight="1" x14ac:dyDescent="0.25">
      <c r="A128" s="272" t="s">
        <v>506</v>
      </c>
      <c r="B128" s="268"/>
      <c r="C128" s="294"/>
      <c r="D128" s="268" t="s">
        <v>398</v>
      </c>
      <c r="E128" s="268"/>
      <c r="F128" s="269"/>
      <c r="G128" s="438" t="s">
        <v>649</v>
      </c>
      <c r="H128" s="439"/>
      <c r="I128" s="357">
        <f>SUM(I130:I141)</f>
        <v>4356.33</v>
      </c>
      <c r="J128" s="299">
        <f t="shared" si="42"/>
        <v>2.7767991654935542E-2</v>
      </c>
    </row>
    <row r="129" spans="1:10" ht="22.5" customHeight="1" x14ac:dyDescent="0.25">
      <c r="A129" s="211"/>
      <c r="B129" s="220"/>
      <c r="C129" s="191"/>
      <c r="D129" s="220" t="s">
        <v>270</v>
      </c>
      <c r="E129" s="220"/>
      <c r="F129" s="247"/>
      <c r="G129" s="220"/>
      <c r="H129" s="220"/>
      <c r="I129" s="232"/>
      <c r="J129" s="299">
        <f t="shared" si="42"/>
        <v>0</v>
      </c>
    </row>
    <row r="130" spans="1:10" ht="22.5" customHeight="1" x14ac:dyDescent="0.25">
      <c r="A130" s="211" t="s">
        <v>525</v>
      </c>
      <c r="B130" s="191">
        <v>4016008</v>
      </c>
      <c r="C130" s="191" t="s">
        <v>14</v>
      </c>
      <c r="D130" s="197" t="str">
        <f>VLOOKUP(B130,'CPU serviços'!B:G,3,0)</f>
        <v>Escavação e carga de material de jazida com trator de 127 kW e carregadeira de 3,4 m³</v>
      </c>
      <c r="E130" s="198" t="str">
        <f>VLOOKUP(B130,'CPU serviços'!B:G,4,0)</f>
        <v>m³</v>
      </c>
      <c r="F130" s="247">
        <f>'MEMORIA DE CALCULO'!G144</f>
        <v>13.2</v>
      </c>
      <c r="G130" s="221">
        <f>VLOOKUP(B130,'CPU serviços'!B:G,5,0)</f>
        <v>3.72</v>
      </c>
      <c r="H130" s="222">
        <f t="shared" ref="H130" si="63">((G130*$I$7)+G130)</f>
        <v>4.6952044137931033</v>
      </c>
      <c r="I130" s="223">
        <f t="shared" ref="I130" si="64">ROUND(H130*F130,2)</f>
        <v>61.98</v>
      </c>
      <c r="J130" s="299">
        <f t="shared" si="42"/>
        <v>3.9507110865634714E-4</v>
      </c>
    </row>
    <row r="131" spans="1:10" ht="22.5" customHeight="1" x14ac:dyDescent="0.25">
      <c r="A131" s="211" t="s">
        <v>526</v>
      </c>
      <c r="B131" s="191">
        <v>5914359</v>
      </c>
      <c r="C131" s="191" t="s">
        <v>14</v>
      </c>
      <c r="D131" s="197" t="str">
        <f>VLOOKUP(B131,'CPU serviços'!B:G,3,0)</f>
        <v>Transporte com caminhão basculante de 10 m³ - rodovia em leito natural</v>
      </c>
      <c r="E131" s="198" t="str">
        <f>VLOOKUP(B131,'CPU serviços'!B:G,4,0)</f>
        <v>tkm</v>
      </c>
      <c r="F131" s="247">
        <f>F130*1.6*1</f>
        <v>21.12</v>
      </c>
      <c r="G131" s="221">
        <f>VLOOKUP(B131,'CPU serviços'!B:G,5,0)</f>
        <v>1.2</v>
      </c>
      <c r="H131" s="222">
        <f t="shared" ref="H131:H138" si="65">((G131*$I$7)+G131)</f>
        <v>1.5145820689655172</v>
      </c>
      <c r="I131" s="223">
        <f t="shared" ref="I131:I138" si="66">ROUND(H131*F131,2)</f>
        <v>31.99</v>
      </c>
      <c r="J131" s="299">
        <f t="shared" si="42"/>
        <v>2.0390972516806302E-4</v>
      </c>
    </row>
    <row r="132" spans="1:10" ht="24.75" customHeight="1" x14ac:dyDescent="0.25">
      <c r="A132" s="211" t="s">
        <v>527</v>
      </c>
      <c r="B132" s="274">
        <v>4915774</v>
      </c>
      <c r="C132" s="191" t="s">
        <v>14</v>
      </c>
      <c r="D132" s="197" t="str">
        <f>VLOOKUP(B132,'CPU serviços'!B:G,3,0)</f>
        <v>Recomposição de erosão em corte ou aterro com material de jazida</v>
      </c>
      <c r="E132" s="198" t="str">
        <f>VLOOKUP(B132,'CPU serviços'!B:G,4,0)</f>
        <v>m³</v>
      </c>
      <c r="F132" s="247">
        <f>'MEMORIA DE CALCULO'!G144</f>
        <v>13.2</v>
      </c>
      <c r="G132" s="221">
        <f>VLOOKUP(B132,'CPU serviços'!B:G,5,0)</f>
        <v>23.08</v>
      </c>
      <c r="H132" s="222">
        <f t="shared" si="65"/>
        <v>29.130461793103443</v>
      </c>
      <c r="I132" s="223">
        <f t="shared" si="66"/>
        <v>384.52</v>
      </c>
      <c r="J132" s="299">
        <f t="shared" si="42"/>
        <v>2.4509961713542854E-3</v>
      </c>
    </row>
    <row r="133" spans="1:10" ht="30" x14ac:dyDescent="0.25">
      <c r="A133" s="211" t="s">
        <v>528</v>
      </c>
      <c r="B133" s="274">
        <v>1505878</v>
      </c>
      <c r="C133" s="191" t="s">
        <v>14</v>
      </c>
      <c r="D133" s="197" t="str">
        <f>VLOOKUP(B133,'CPU serviços'!B:G,3,0)</f>
        <v>Enrocamento de pedra arrumada manualmente - pedra de mão produzida - confecção e assentamento</v>
      </c>
      <c r="E133" s="198" t="str">
        <f>VLOOKUP(B133,'CPU serviços'!B:G,4,0)</f>
        <v>m³</v>
      </c>
      <c r="F133" s="247">
        <f>'MEMORIA DE CALCULO'!G145</f>
        <v>4.4000000000000004</v>
      </c>
      <c r="G133" s="221">
        <f>VLOOKUP(B133,'CPU serviços'!B:G,5,0)</f>
        <v>170.62</v>
      </c>
      <c r="H133" s="222">
        <f t="shared" si="65"/>
        <v>215.3483271724138</v>
      </c>
      <c r="I133" s="223">
        <f t="shared" si="66"/>
        <v>947.53</v>
      </c>
      <c r="J133" s="299">
        <f t="shared" si="42"/>
        <v>6.039718095920436E-3</v>
      </c>
    </row>
    <row r="134" spans="1:10" ht="22.5" customHeight="1" x14ac:dyDescent="0.25">
      <c r="A134" s="211" t="s">
        <v>529</v>
      </c>
      <c r="B134" s="191">
        <v>5914359</v>
      </c>
      <c r="C134" s="191" t="s">
        <v>14</v>
      </c>
      <c r="D134" s="197" t="str">
        <f>VLOOKUP(B134,'CPU serviços'!B:G,3,0)</f>
        <v>Transporte com caminhão basculante de 10 m³ - rodovia em leito natural</v>
      </c>
      <c r="E134" s="198" t="str">
        <f>VLOOKUP(B134,'CPU serviços'!B:G,4,0)</f>
        <v>tkm</v>
      </c>
      <c r="F134" s="247">
        <f>F133*1.8*9.5</f>
        <v>75.240000000000009</v>
      </c>
      <c r="G134" s="221">
        <f>VLOOKUP(B134,'CPU serviços'!B:G,5,0)</f>
        <v>1.2</v>
      </c>
      <c r="H134" s="222">
        <f t="shared" si="65"/>
        <v>1.5145820689655172</v>
      </c>
      <c r="I134" s="223">
        <f t="shared" si="66"/>
        <v>113.96</v>
      </c>
      <c r="J134" s="299">
        <f t="shared" si="42"/>
        <v>7.2640050891379997E-4</v>
      </c>
    </row>
    <row r="135" spans="1:10" ht="22.5" customHeight="1" x14ac:dyDescent="0.25">
      <c r="A135" s="211" t="s">
        <v>530</v>
      </c>
      <c r="B135" s="273">
        <v>1600989</v>
      </c>
      <c r="C135" s="191" t="s">
        <v>14</v>
      </c>
      <c r="D135" s="197" t="str">
        <f>VLOOKUP(B135,'CPU serviços'!B:G,3,0)</f>
        <v>Demolição de concreto simples com martelete</v>
      </c>
      <c r="E135" s="198" t="str">
        <f>VLOOKUP(B135,'CPU serviços'!B:G,4,0)</f>
        <v>m³</v>
      </c>
      <c r="F135" s="247">
        <f>'MEMORIA DE CALCULO'!G148</f>
        <v>1.75</v>
      </c>
      <c r="G135" s="221">
        <f>VLOOKUP(B135,'CPU serviços'!B:G,5,0)</f>
        <v>403.66</v>
      </c>
      <c r="H135" s="222">
        <f t="shared" ref="H135" si="67">((G135*$I$7)+G135)</f>
        <v>509.48016496551725</v>
      </c>
      <c r="I135" s="223">
        <f t="shared" ref="I135" si="68">ROUND(H135*F135,2)</f>
        <v>891.59</v>
      </c>
      <c r="J135" s="299">
        <f t="shared" si="42"/>
        <v>5.6831469791370215E-3</v>
      </c>
    </row>
    <row r="136" spans="1:10" ht="22.5" customHeight="1" x14ac:dyDescent="0.25">
      <c r="A136" s="211" t="s">
        <v>531</v>
      </c>
      <c r="B136" s="274">
        <v>1106057</v>
      </c>
      <c r="C136" s="191" t="s">
        <v>14</v>
      </c>
      <c r="D136" s="197" t="str">
        <f>VLOOKUP(B136,'CPU serviços'!B:G,3,0)</f>
        <v>Concreto magro - confecção em betoneira e lançamento manual - areia e brita comerciais</v>
      </c>
      <c r="E136" s="198" t="str">
        <f>VLOOKUP(B136,'CPU serviços'!B:G,4,0)</f>
        <v>m³</v>
      </c>
      <c r="F136" s="247">
        <f>'MEMORIA DE CALCULO'!G147</f>
        <v>1.1900000000000002</v>
      </c>
      <c r="G136" s="221">
        <f>VLOOKUP(B136,'CPU serviços'!B:G,5,0)</f>
        <v>477.58</v>
      </c>
      <c r="H136" s="222">
        <f t="shared" si="65"/>
        <v>602.77842041379301</v>
      </c>
      <c r="I136" s="223">
        <f t="shared" si="66"/>
        <v>717.31</v>
      </c>
      <c r="J136" s="299">
        <f t="shared" si="42"/>
        <v>4.5722564851610904E-3</v>
      </c>
    </row>
    <row r="137" spans="1:10" ht="30" x14ac:dyDescent="0.25">
      <c r="A137" s="211" t="s">
        <v>532</v>
      </c>
      <c r="B137" s="274">
        <v>1106165</v>
      </c>
      <c r="C137" s="191" t="s">
        <v>14</v>
      </c>
      <c r="D137" s="197" t="str">
        <f>VLOOKUP(B137,'CPU serviços'!B:G,3,0)</f>
        <v>Concreto ciclópico fck = 20 MPa - confecção em betoneira e lançamento manual - areia, brita e pedra de mão comerciais</v>
      </c>
      <c r="E137" s="198" t="str">
        <f>VLOOKUP(B137,'CPU serviços'!B:G,4,0)</f>
        <v>m³</v>
      </c>
      <c r="F137" s="247">
        <f>'MEMORIA DE CALCULO'!G149</f>
        <v>1.75</v>
      </c>
      <c r="G137" s="221">
        <f>VLOOKUP(B137,'CPU serviços'!B:G,5,0)</f>
        <v>419.45</v>
      </c>
      <c r="H137" s="222">
        <f t="shared" si="65"/>
        <v>529.40954068965516</v>
      </c>
      <c r="I137" s="223">
        <f t="shared" si="66"/>
        <v>926.47</v>
      </c>
      <c r="J137" s="299">
        <f t="shared" si="42"/>
        <v>5.905478058032365E-3</v>
      </c>
    </row>
    <row r="138" spans="1:10" ht="22.5" customHeight="1" x14ac:dyDescent="0.25">
      <c r="A138" s="211" t="s">
        <v>533</v>
      </c>
      <c r="B138" s="191">
        <v>5914359</v>
      </c>
      <c r="C138" s="191" t="s">
        <v>14</v>
      </c>
      <c r="D138" s="197" t="str">
        <f>VLOOKUP(B138,'CPU serviços'!B:G,3,0)</f>
        <v>Transporte com caminhão basculante de 10 m³ - rodovia em leito natural</v>
      </c>
      <c r="E138" s="198" t="str">
        <f>VLOOKUP(B138,'CPU serviços'!B:G,4,0)</f>
        <v>tkm</v>
      </c>
      <c r="F138" s="247">
        <f>F137*2.2*2</f>
        <v>7.7000000000000011</v>
      </c>
      <c r="G138" s="221">
        <f>VLOOKUP(B138,'CPU serviços'!B:G,5,0)</f>
        <v>1.2</v>
      </c>
      <c r="H138" s="222">
        <f t="shared" si="65"/>
        <v>1.5145820689655172</v>
      </c>
      <c r="I138" s="223">
        <f t="shared" si="66"/>
        <v>11.66</v>
      </c>
      <c r="J138" s="299">
        <f t="shared" si="42"/>
        <v>7.432283199311081E-5</v>
      </c>
    </row>
    <row r="139" spans="1:10" ht="45" x14ac:dyDescent="0.2">
      <c r="A139" s="211" t="s">
        <v>534</v>
      </c>
      <c r="B139" s="191">
        <v>97086</v>
      </c>
      <c r="C139" s="209" t="s">
        <v>10</v>
      </c>
      <c r="D139" s="197" t="str">
        <f>VLOOKUP(B139,'CPU serviços'!B:G,3,0)</f>
        <v>FABRICAÇÃO, MONTAGEM E DESMONTAGEM DE FORMA PARA RADIER, PISO DE CONCRETO OU LAJE SOBRE SOLO, EM MADEIRA SERRADA, 4 UTILIZAÇÕES. AF_09/2021</v>
      </c>
      <c r="E139" s="198" t="str">
        <f>VLOOKUP(B139,'CPU serviços'!B:G,4,0)</f>
        <v>m²</v>
      </c>
      <c r="F139" s="247">
        <f>'MEMORIA DE CALCULO'!G151+'MEMORIA DE CALCULO'!G154</f>
        <v>1.3200000000000003</v>
      </c>
      <c r="G139" s="221">
        <f>VLOOKUP(B139,'CPU serviços'!B:G,5,0)</f>
        <v>135.6</v>
      </c>
      <c r="H139" s="222">
        <f t="shared" ref="H139" si="69">((G139*$I$7)+G139)</f>
        <v>171.14777379310343</v>
      </c>
      <c r="I139" s="223">
        <f t="shared" ref="I139" si="70">ROUND(H139*F139,2)</f>
        <v>225.92</v>
      </c>
      <c r="J139" s="299"/>
    </row>
    <row r="140" spans="1:10" ht="22.5" customHeight="1" x14ac:dyDescent="0.25">
      <c r="A140" s="211"/>
      <c r="B140" s="191"/>
      <c r="C140" s="191"/>
      <c r="D140" s="220" t="s">
        <v>275</v>
      </c>
      <c r="E140" s="220"/>
      <c r="F140" s="247"/>
      <c r="G140" s="220"/>
      <c r="H140" s="220"/>
      <c r="I140" s="232"/>
      <c r="J140" s="299">
        <f t="shared" ref="J140:J145" si="71">I140/$H$177</f>
        <v>0</v>
      </c>
    </row>
    <row r="141" spans="1:10" ht="22.5" customHeight="1" x14ac:dyDescent="0.25">
      <c r="A141" s="211" t="s">
        <v>647</v>
      </c>
      <c r="B141" s="191">
        <v>1106057</v>
      </c>
      <c r="C141" s="191" t="s">
        <v>14</v>
      </c>
      <c r="D141" s="197" t="str">
        <f>VLOOKUP(B141,'CPU serviços'!B:G,3,0)</f>
        <v>Concreto magro - confecção em betoneira e lançamento manual - areia e brita comerciais</v>
      </c>
      <c r="E141" s="198" t="str">
        <f>VLOOKUP(B141,'CPU serviços'!B:G,4,0)</f>
        <v>m³</v>
      </c>
      <c r="F141" s="247">
        <f>'MEMORIA DE CALCULO'!G153</f>
        <v>7.1999999999999995E-2</v>
      </c>
      <c r="G141" s="221">
        <f>VLOOKUP(B141,'CPU serviços'!B:G,5,0)</f>
        <v>477.58</v>
      </c>
      <c r="H141" s="222">
        <f t="shared" ref="H141" si="72">((G141*$I$7)+G141)</f>
        <v>602.77842041379301</v>
      </c>
      <c r="I141" s="223">
        <f t="shared" ref="I141" si="73">ROUND(H141*F141,2)</f>
        <v>43.4</v>
      </c>
      <c r="J141" s="299">
        <f t="shared" si="71"/>
        <v>2.7663901445120148E-4</v>
      </c>
    </row>
    <row r="142" spans="1:10" ht="22.5" customHeight="1" x14ac:dyDescent="0.25">
      <c r="A142" s="272" t="s">
        <v>507</v>
      </c>
      <c r="B142" s="268"/>
      <c r="C142" s="294"/>
      <c r="D142" s="268" t="s">
        <v>417</v>
      </c>
      <c r="E142" s="268"/>
      <c r="F142" s="269"/>
      <c r="G142" s="438" t="s">
        <v>649</v>
      </c>
      <c r="H142" s="439"/>
      <c r="I142" s="357">
        <f>SUM(I144:I150)</f>
        <v>2420.29</v>
      </c>
      <c r="J142" s="299">
        <f t="shared" si="71"/>
        <v>1.5427341942076001E-2</v>
      </c>
    </row>
    <row r="143" spans="1:10" ht="22.5" customHeight="1" x14ac:dyDescent="0.25">
      <c r="A143" s="211"/>
      <c r="B143" s="220"/>
      <c r="C143" s="191"/>
      <c r="D143" s="220" t="s">
        <v>270</v>
      </c>
      <c r="E143" s="220"/>
      <c r="F143" s="247"/>
      <c r="G143" s="220"/>
      <c r="H143" s="220"/>
      <c r="I143" s="232"/>
      <c r="J143" s="299">
        <f t="shared" si="71"/>
        <v>0</v>
      </c>
    </row>
    <row r="144" spans="1:10" ht="30" x14ac:dyDescent="0.25">
      <c r="A144" s="211" t="s">
        <v>520</v>
      </c>
      <c r="B144" s="191">
        <v>1106165</v>
      </c>
      <c r="C144" s="191" t="s">
        <v>14</v>
      </c>
      <c r="D144" s="197" t="str">
        <f>VLOOKUP(B144,'CPU serviços'!B:G,3,0)</f>
        <v>Concreto ciclópico fck = 20 MPa - confecção em betoneira e lançamento manual - areia, brita e pedra de mão comerciais</v>
      </c>
      <c r="E144" s="198" t="str">
        <f>VLOOKUP(B144,'CPU serviços'!B:G,4,0)</f>
        <v>m³</v>
      </c>
      <c r="F144" s="247">
        <f>'MEMORIA DE CALCULO'!G157</f>
        <v>0.73499999999999988</v>
      </c>
      <c r="G144" s="221">
        <f>VLOOKUP(B144,'CPU serviços'!B:G,5,0)</f>
        <v>419.45</v>
      </c>
      <c r="H144" s="222">
        <f t="shared" ref="H144" si="74">((G144*$I$7)+G144)</f>
        <v>529.40954068965516</v>
      </c>
      <c r="I144" s="223">
        <f t="shared" ref="I144" si="75">ROUND(H144*F144,2)</f>
        <v>389.12</v>
      </c>
      <c r="J144" s="299">
        <f t="shared" si="71"/>
        <v>2.4803173572177772E-3</v>
      </c>
    </row>
    <row r="145" spans="1:10" ht="22.5" customHeight="1" x14ac:dyDescent="0.25">
      <c r="A145" s="211" t="s">
        <v>522</v>
      </c>
      <c r="B145" s="191">
        <v>1106057</v>
      </c>
      <c r="C145" s="191" t="s">
        <v>14</v>
      </c>
      <c r="D145" s="197" t="str">
        <f>VLOOKUP(B145,'CPU serviços'!B:G,3,0)</f>
        <v>Concreto magro - confecção em betoneira e lançamento manual - areia e brita comerciais</v>
      </c>
      <c r="E145" s="198" t="str">
        <f>VLOOKUP(B145,'CPU serviços'!B:G,4,0)</f>
        <v>m³</v>
      </c>
      <c r="F145" s="247">
        <f>'MEMORIA DE CALCULO'!G158</f>
        <v>1.0799999999999998</v>
      </c>
      <c r="G145" s="221">
        <f>VLOOKUP(B145,'CPU serviços'!B:G,5,0)</f>
        <v>477.58</v>
      </c>
      <c r="H145" s="222">
        <f t="shared" ref="H145:H150" si="76">((G145*$I$7)+G145)</f>
        <v>602.77842041379301</v>
      </c>
      <c r="I145" s="223">
        <f t="shared" ref="I145:I150" si="77">ROUND(H145*F145,2)</f>
        <v>651</v>
      </c>
      <c r="J145" s="299">
        <f t="shared" si="71"/>
        <v>4.1495852167680218E-3</v>
      </c>
    </row>
    <row r="146" spans="1:10" ht="45" x14ac:dyDescent="0.2">
      <c r="A146" s="211" t="s">
        <v>523</v>
      </c>
      <c r="B146" s="191">
        <v>97086</v>
      </c>
      <c r="C146" s="209" t="s">
        <v>10</v>
      </c>
      <c r="D146" s="197" t="str">
        <f>VLOOKUP(B146,'CPU serviços'!B:G,3,0)</f>
        <v>FABRICAÇÃO, MONTAGEM E DESMONTAGEM DE FORMA PARA RADIER, PISO DE CONCRETO OU LAJE SOBRE SOLO, EM MADEIRA SERRADA, 4 UTILIZAÇÕES. AF_09/2021</v>
      </c>
      <c r="E146" s="198" t="str">
        <f>VLOOKUP(B146,'CPU serviços'!B:G,4,0)</f>
        <v>m²</v>
      </c>
      <c r="F146" s="247">
        <f>'MEMORIA DE CALCULO'!G161</f>
        <v>3.5999999999999996</v>
      </c>
      <c r="G146" s="221">
        <f>VLOOKUP(B146,'CPU serviços'!B:G,5,0)</f>
        <v>135.6</v>
      </c>
      <c r="H146" s="222">
        <f t="shared" ref="H146" si="78">((G146*$I$7)+G146)</f>
        <v>171.14777379310343</v>
      </c>
      <c r="I146" s="223">
        <f t="shared" ref="I146" si="79">ROUND(H146*F146,2)</f>
        <v>616.13</v>
      </c>
      <c r="J146" s="299"/>
    </row>
    <row r="147" spans="1:10" ht="22.5" customHeight="1" x14ac:dyDescent="0.25">
      <c r="A147" s="211" t="s">
        <v>521</v>
      </c>
      <c r="B147" s="191">
        <v>4114</v>
      </c>
      <c r="C147" s="191" t="s">
        <v>460</v>
      </c>
      <c r="D147" s="197" t="str">
        <f>VLOOKUP(B147,'CPU serviços'!B:G,3,0)</f>
        <v xml:space="preserve">TRATAMENTO DE TRINCAS (2,5cm) </v>
      </c>
      <c r="E147" s="198" t="str">
        <f>VLOOKUP(B147,'CPU serviços'!B:G,4,0)</f>
        <v>m</v>
      </c>
      <c r="F147" s="247">
        <f>'MEMORIA DE CALCULO'!G159</f>
        <v>20</v>
      </c>
      <c r="G147" s="221">
        <f>VLOOKUP(B147,'CPU serviços'!B:G,5,0)</f>
        <v>14.66</v>
      </c>
      <c r="H147" s="222">
        <f t="shared" si="76"/>
        <v>18.50314427586207</v>
      </c>
      <c r="I147" s="223">
        <f t="shared" si="77"/>
        <v>370.06</v>
      </c>
      <c r="J147" s="299">
        <f t="shared" ref="J147:J176" si="80">I147/$H$177</f>
        <v>2.3588256610094843E-3</v>
      </c>
    </row>
    <row r="148" spans="1:10" ht="30" x14ac:dyDescent="0.25">
      <c r="A148" s="211" t="s">
        <v>524</v>
      </c>
      <c r="B148" s="191">
        <v>98529</v>
      </c>
      <c r="C148" s="191" t="s">
        <v>10</v>
      </c>
      <c r="D148" s="197" t="str">
        <f>VLOOKUP(B148,'CPU serviços'!B:G,3,0)</f>
        <v>CORTE RASO E RECORTE DE ÁRVORE COM DIÂMETRO DE TRONCO MAIOR OU IGUAL A 0,20 M E MENOR QUE 0,40 M.AF_05/2018</v>
      </c>
      <c r="E148" s="198" t="str">
        <f>VLOOKUP(B148,'CPU serviços'!B:G,4,0)</f>
        <v>UN</v>
      </c>
      <c r="F148" s="247">
        <f>'MEMORIA DE CALCULO'!G160</f>
        <v>3</v>
      </c>
      <c r="G148" s="221">
        <f>VLOOKUP(B148,'CPU serviços'!B:G,5,0)</f>
        <v>62.43</v>
      </c>
      <c r="H148" s="222">
        <f t="shared" si="76"/>
        <v>78.796132137931039</v>
      </c>
      <c r="I148" s="223">
        <f t="shared" si="77"/>
        <v>236.39</v>
      </c>
      <c r="J148" s="299">
        <f t="shared" si="80"/>
        <v>1.5067902448414635E-3</v>
      </c>
    </row>
    <row r="149" spans="1:10" ht="22.5" customHeight="1" x14ac:dyDescent="0.25">
      <c r="A149" s="211"/>
      <c r="B149" s="220"/>
      <c r="C149" s="191"/>
      <c r="D149" s="220" t="s">
        <v>275</v>
      </c>
      <c r="E149" s="198"/>
      <c r="F149" s="247"/>
      <c r="G149" s="221"/>
      <c r="H149" s="222"/>
      <c r="I149" s="223"/>
      <c r="J149" s="299">
        <f t="shared" si="80"/>
        <v>0</v>
      </c>
    </row>
    <row r="150" spans="1:10" ht="30" x14ac:dyDescent="0.25">
      <c r="A150" s="211" t="s">
        <v>524</v>
      </c>
      <c r="B150" s="191">
        <v>98529</v>
      </c>
      <c r="C150" s="191" t="s">
        <v>10</v>
      </c>
      <c r="D150" s="197" t="str">
        <f>VLOOKUP(B150,'CPU serviços'!B:G,3,0)</f>
        <v>CORTE RASO E RECORTE DE ÁRVORE COM DIÂMETRO DE TRONCO MAIOR OU IGUAL A 0,20 M E MENOR QUE 0,40 M.AF_05/2018</v>
      </c>
      <c r="E150" s="198" t="str">
        <f>VLOOKUP(B150,'CPU serviços'!B:G,4,0)</f>
        <v>UN</v>
      </c>
      <c r="F150" s="247">
        <f>'MEMORIA DE CALCULO'!G163</f>
        <v>2</v>
      </c>
      <c r="G150" s="221">
        <f>VLOOKUP(B150,'CPU serviços'!B:G,5,0)</f>
        <v>62.43</v>
      </c>
      <c r="H150" s="222">
        <f t="shared" si="76"/>
        <v>78.796132137931039</v>
      </c>
      <c r="I150" s="223">
        <f t="shared" si="77"/>
        <v>157.59</v>
      </c>
      <c r="J150" s="299">
        <f t="shared" si="80"/>
        <v>1.004505582658176E-3</v>
      </c>
    </row>
    <row r="151" spans="1:10" ht="22.5" customHeight="1" x14ac:dyDescent="0.25">
      <c r="A151" s="272" t="s">
        <v>508</v>
      </c>
      <c r="B151" s="268"/>
      <c r="C151" s="294"/>
      <c r="D151" s="268" t="s">
        <v>434</v>
      </c>
      <c r="E151" s="268"/>
      <c r="F151" s="269"/>
      <c r="G151" s="438" t="s">
        <v>649</v>
      </c>
      <c r="H151" s="439"/>
      <c r="I151" s="357">
        <f>SUM(I153:I158)</f>
        <v>891.32999999999993</v>
      </c>
      <c r="J151" s="299">
        <f t="shared" si="80"/>
        <v>5.6814896947186494E-3</v>
      </c>
    </row>
    <row r="152" spans="1:10" ht="22.5" customHeight="1" x14ac:dyDescent="0.25">
      <c r="A152" s="211"/>
      <c r="B152" s="220"/>
      <c r="C152" s="191"/>
      <c r="D152" s="220" t="s">
        <v>270</v>
      </c>
      <c r="E152" s="220"/>
      <c r="F152" s="247"/>
      <c r="G152" s="220"/>
      <c r="H152" s="220"/>
      <c r="I152" s="232"/>
      <c r="J152" s="299">
        <f t="shared" si="80"/>
        <v>0</v>
      </c>
    </row>
    <row r="153" spans="1:10" ht="30" x14ac:dyDescent="0.25">
      <c r="A153" s="211" t="s">
        <v>515</v>
      </c>
      <c r="B153" s="274">
        <v>1106165</v>
      </c>
      <c r="C153" s="191" t="s">
        <v>14</v>
      </c>
      <c r="D153" s="197" t="str">
        <f>VLOOKUP(B153,'CPU serviços'!B:G,3,0)</f>
        <v>Concreto ciclópico fck = 20 MPa - confecção em betoneira e lançamento manual - areia, brita e pedra de mão comerciais</v>
      </c>
      <c r="E153" s="198" t="str">
        <f>VLOOKUP(B153,'CPU serviços'!B:G,4,0)</f>
        <v>m³</v>
      </c>
      <c r="F153" s="247">
        <f>'MEMORIA DE CALCULO'!G167</f>
        <v>0.12800000000000003</v>
      </c>
      <c r="G153" s="221">
        <f>VLOOKUP(B153,'CPU serviços'!B:G,5,0)</f>
        <v>419.45</v>
      </c>
      <c r="H153" s="222">
        <f t="shared" ref="H153" si="81">((G153*$I$7)+G153)</f>
        <v>529.40954068965516</v>
      </c>
      <c r="I153" s="223">
        <f t="shared" ref="I153" si="82">ROUND(H153*F153,2)</f>
        <v>67.760000000000005</v>
      </c>
      <c r="J153" s="299">
        <f t="shared" si="80"/>
        <v>4.3191381611090815E-4</v>
      </c>
    </row>
    <row r="154" spans="1:10" ht="30" x14ac:dyDescent="0.25">
      <c r="A154" s="211" t="s">
        <v>516</v>
      </c>
      <c r="B154" s="191">
        <v>98529</v>
      </c>
      <c r="C154" s="191" t="s">
        <v>10</v>
      </c>
      <c r="D154" s="197" t="str">
        <f>VLOOKUP(B154,'CPU serviços'!B:G,3,0)</f>
        <v>CORTE RASO E RECORTE DE ÁRVORE COM DIÂMETRO DE TRONCO MAIOR OU IGUAL A 0,20 M E MENOR QUE 0,40 M.AF_05/2018</v>
      </c>
      <c r="E154" s="198" t="str">
        <f>VLOOKUP(B154,'CPU serviços'!B:G,4,0)</f>
        <v>UN</v>
      </c>
      <c r="F154" s="247">
        <f>'MEMORIA DE CALCULO'!G160</f>
        <v>3</v>
      </c>
      <c r="G154" s="221">
        <f>VLOOKUP(B154,'CPU serviços'!B:G,5,0)</f>
        <v>62.43</v>
      </c>
      <c r="H154" s="222">
        <f t="shared" ref="H154:H158" si="83">((G154*$I$7)+G154)</f>
        <v>78.796132137931039</v>
      </c>
      <c r="I154" s="223">
        <f t="shared" ref="I154:I158" si="84">ROUND(H154*F154,2)</f>
        <v>236.39</v>
      </c>
      <c r="J154" s="299">
        <f t="shared" si="80"/>
        <v>1.5067902448414635E-3</v>
      </c>
    </row>
    <row r="155" spans="1:10" ht="22.5" customHeight="1" x14ac:dyDescent="0.25">
      <c r="A155" s="211"/>
      <c r="B155" s="158"/>
      <c r="C155" s="191"/>
      <c r="D155" s="220" t="s">
        <v>275</v>
      </c>
      <c r="E155" s="198"/>
      <c r="F155" s="247"/>
      <c r="G155" s="221"/>
      <c r="H155" s="222"/>
      <c r="I155" s="223"/>
      <c r="J155" s="299">
        <f t="shared" si="80"/>
        <v>0</v>
      </c>
    </row>
    <row r="156" spans="1:10" ht="32.25" customHeight="1" x14ac:dyDescent="0.25">
      <c r="A156" s="211" t="s">
        <v>517</v>
      </c>
      <c r="B156" s="191">
        <v>98529</v>
      </c>
      <c r="C156" s="191" t="s">
        <v>10</v>
      </c>
      <c r="D156" s="197" t="str">
        <f>VLOOKUP(B156,'CPU serviços'!B:G,3,0)</f>
        <v>CORTE RASO E RECORTE DE ÁRVORE COM DIÂMETRO DE TRONCO MAIOR OU IGUAL A 0,20 M E MENOR QUE 0,40 M.AF_05/2018</v>
      </c>
      <c r="E156" s="198" t="str">
        <f>VLOOKUP(B156,'CPU serviços'!B:G,4,0)</f>
        <v>UN</v>
      </c>
      <c r="F156" s="247">
        <f>'MEMORIA DE CALCULO'!G173</f>
        <v>3</v>
      </c>
      <c r="G156" s="221">
        <f>VLOOKUP(B156,'CPU serviços'!B:G,5,0)</f>
        <v>62.43</v>
      </c>
      <c r="H156" s="222">
        <f t="shared" si="83"/>
        <v>78.796132137931039</v>
      </c>
      <c r="I156" s="223">
        <f t="shared" si="84"/>
        <v>236.39</v>
      </c>
      <c r="J156" s="299">
        <f t="shared" si="80"/>
        <v>1.5067902448414635E-3</v>
      </c>
    </row>
    <row r="157" spans="1:10" ht="29.25" customHeight="1" x14ac:dyDescent="0.25">
      <c r="A157" s="211" t="s">
        <v>518</v>
      </c>
      <c r="B157" s="191">
        <v>4114</v>
      </c>
      <c r="C157" s="191" t="s">
        <v>460</v>
      </c>
      <c r="D157" s="197" t="str">
        <f>VLOOKUP(B157,'CPU serviços'!B:G,3,0)</f>
        <v xml:space="preserve">TRATAMENTO DE TRINCAS (2,5cm) </v>
      </c>
      <c r="E157" s="198" t="str">
        <f>VLOOKUP(B157,'CPU serviços'!B:G,4,0)</f>
        <v>m</v>
      </c>
      <c r="F157" s="247">
        <f>'MEMORIA DE CALCULO'!G171</f>
        <v>15</v>
      </c>
      <c r="G157" s="221">
        <f>VLOOKUP(B157,'CPU serviços'!B:G,5,0)</f>
        <v>14.66</v>
      </c>
      <c r="H157" s="222">
        <f t="shared" si="83"/>
        <v>18.50314427586207</v>
      </c>
      <c r="I157" s="223">
        <f t="shared" si="84"/>
        <v>277.55</v>
      </c>
      <c r="J157" s="299">
        <f t="shared" si="80"/>
        <v>1.7691511166113127E-3</v>
      </c>
    </row>
    <row r="158" spans="1:10" ht="29.25" customHeight="1" x14ac:dyDescent="0.25">
      <c r="A158" s="211" t="s">
        <v>519</v>
      </c>
      <c r="B158" s="196">
        <v>1106057</v>
      </c>
      <c r="C158" s="191" t="s">
        <v>14</v>
      </c>
      <c r="D158" s="197" t="str">
        <f>VLOOKUP(B158,'CPU serviços'!B:G,3,0)</f>
        <v>Concreto magro - confecção em betoneira e lançamento manual - areia e brita comerciais</v>
      </c>
      <c r="E158" s="198" t="str">
        <f>VLOOKUP(B158,'CPU serviços'!B:G,4,0)</f>
        <v>m³</v>
      </c>
      <c r="F158" s="247">
        <f>'MEMORIA DE CALCULO'!G172</f>
        <v>0.1215</v>
      </c>
      <c r="G158" s="221">
        <f>VLOOKUP(B158,'CPU serviços'!B:G,5,0)</f>
        <v>477.58</v>
      </c>
      <c r="H158" s="222">
        <f t="shared" si="83"/>
        <v>602.77842041379301</v>
      </c>
      <c r="I158" s="223">
        <f t="shared" si="84"/>
        <v>73.239999999999995</v>
      </c>
      <c r="J158" s="299">
        <f t="shared" si="80"/>
        <v>4.6684427231350221E-4</v>
      </c>
    </row>
    <row r="159" spans="1:10" ht="22.5" customHeight="1" x14ac:dyDescent="0.25">
      <c r="A159" s="272" t="s">
        <v>509</v>
      </c>
      <c r="B159" s="268"/>
      <c r="C159" s="294"/>
      <c r="D159" s="268" t="s">
        <v>443</v>
      </c>
      <c r="E159" s="268"/>
      <c r="F159" s="269"/>
      <c r="G159" s="438" t="s">
        <v>649</v>
      </c>
      <c r="H159" s="439"/>
      <c r="I159" s="357">
        <f>SUM(I161:I166)</f>
        <v>1437.71</v>
      </c>
      <c r="J159" s="299">
        <f t="shared" si="80"/>
        <v>9.1642091582174404E-3</v>
      </c>
    </row>
    <row r="160" spans="1:10" ht="22.5" customHeight="1" x14ac:dyDescent="0.25">
      <c r="A160" s="211"/>
      <c r="B160" s="220"/>
      <c r="C160" s="191"/>
      <c r="D160" s="220" t="s">
        <v>270</v>
      </c>
      <c r="E160" s="220"/>
      <c r="F160" s="247"/>
      <c r="G160" s="220"/>
      <c r="H160" s="220"/>
      <c r="I160" s="232"/>
      <c r="J160" s="299">
        <f t="shared" si="80"/>
        <v>0</v>
      </c>
    </row>
    <row r="161" spans="1:10" ht="22.5" customHeight="1" x14ac:dyDescent="0.25">
      <c r="A161" s="211" t="s">
        <v>510</v>
      </c>
      <c r="B161" s="191">
        <v>4800412</v>
      </c>
      <c r="C161" s="191" t="s">
        <v>14</v>
      </c>
      <c r="D161" s="197" t="str">
        <f>VLOOKUP(B161,'CPU serviços'!B:G,3,0)</f>
        <v xml:space="preserve">Raspagem e limpeza de terreno plano </v>
      </c>
      <c r="E161" s="198" t="str">
        <f>VLOOKUP(B161,'CPU serviços'!B:G,4,0)</f>
        <v>m²</v>
      </c>
      <c r="F161" s="247">
        <f>'MEMORIA DE CALCULO'!G179</f>
        <v>31.799999999999997</v>
      </c>
      <c r="G161" s="221">
        <f>VLOOKUP(B161,'CPU serviços'!B:G,5,0)</f>
        <v>4.2</v>
      </c>
      <c r="H161" s="222">
        <f t="shared" ref="H161" si="85">((G161*$I$7)+G161)</f>
        <v>5.3010372413793103</v>
      </c>
      <c r="I161" s="223">
        <f t="shared" ref="I161" si="86">ROUND(H161*F161,2)</f>
        <v>168.57</v>
      </c>
      <c r="J161" s="299">
        <f t="shared" si="80"/>
        <v>1.0744939784801621E-3</v>
      </c>
    </row>
    <row r="162" spans="1:10" ht="30" x14ac:dyDescent="0.25">
      <c r="A162" s="211" t="s">
        <v>511</v>
      </c>
      <c r="B162" s="191">
        <v>98529</v>
      </c>
      <c r="C162" s="191" t="s">
        <v>10</v>
      </c>
      <c r="D162" s="197" t="str">
        <f>VLOOKUP(B162,'CPU serviços'!B:G,3,0)</f>
        <v>CORTE RASO E RECORTE DE ÁRVORE COM DIÂMETRO DE TRONCO MAIOR OU IGUAL A 0,20 M E MENOR QUE 0,40 M.AF_05/2018</v>
      </c>
      <c r="E162" s="198" t="str">
        <f>VLOOKUP(B162,'CPU serviços'!B:G,4,0)</f>
        <v>UN</v>
      </c>
      <c r="F162" s="247">
        <f>'MEMORIA DE CALCULO'!G180</f>
        <v>4</v>
      </c>
      <c r="G162" s="221">
        <f>VLOOKUP(B162,'CPU serviços'!B:G,5,0)</f>
        <v>62.43</v>
      </c>
      <c r="H162" s="222">
        <f t="shared" ref="H162:H166" si="87">((G162*$I$7)+G162)</f>
        <v>78.796132137931039</v>
      </c>
      <c r="I162" s="223">
        <f t="shared" ref="I162:I166" si="88">ROUND(H162*F162,2)</f>
        <v>315.18</v>
      </c>
      <c r="J162" s="299">
        <f t="shared" si="80"/>
        <v>2.009011165316352E-3</v>
      </c>
    </row>
    <row r="163" spans="1:10" ht="30" x14ac:dyDescent="0.25">
      <c r="A163" s="211" t="s">
        <v>512</v>
      </c>
      <c r="B163" s="191">
        <v>1106165</v>
      </c>
      <c r="C163" s="191" t="s">
        <v>14</v>
      </c>
      <c r="D163" s="197" t="str">
        <f>VLOOKUP(B163,'CPU serviços'!B:G,3,0)</f>
        <v>Concreto ciclópico fck = 20 MPa - confecção em betoneira e lançamento manual - areia, brita e pedra de mão comerciais</v>
      </c>
      <c r="E163" s="198" t="str">
        <f>VLOOKUP(B163,'CPU serviços'!B:G,4,0)</f>
        <v>m³</v>
      </c>
      <c r="F163" s="247">
        <f>'MEMORIA DE CALCULO'!G176+'MEMORIA DE CALCULO'!G177</f>
        <v>0.98</v>
      </c>
      <c r="G163" s="221">
        <f>VLOOKUP(B163,'CPU serviços'!B:G,5,0)</f>
        <v>419.45</v>
      </c>
      <c r="H163" s="222">
        <f t="shared" si="87"/>
        <v>529.40954068965516</v>
      </c>
      <c r="I163" s="223">
        <f t="shared" si="88"/>
        <v>518.82000000000005</v>
      </c>
      <c r="J163" s="299">
        <f t="shared" si="80"/>
        <v>3.3070473151514371E-3</v>
      </c>
    </row>
    <row r="164" spans="1:10" ht="22.5" customHeight="1" x14ac:dyDescent="0.25">
      <c r="A164" s="211" t="s">
        <v>513</v>
      </c>
      <c r="B164" s="191">
        <v>4114</v>
      </c>
      <c r="C164" s="191" t="s">
        <v>460</v>
      </c>
      <c r="D164" s="197" t="str">
        <f>VLOOKUP(B164,'CPU serviços'!B:G,3,0)</f>
        <v xml:space="preserve">TRATAMENTO DE TRINCAS (2,5cm) </v>
      </c>
      <c r="E164" s="198" t="str">
        <f>VLOOKUP(B164,'CPU serviços'!B:G,4,0)</f>
        <v>m</v>
      </c>
      <c r="F164" s="247">
        <f>'MEMORIA DE CALCULO'!G178</f>
        <v>15</v>
      </c>
      <c r="G164" s="221">
        <f>VLOOKUP(B164,'CPU serviços'!B:G,5,0)</f>
        <v>14.66</v>
      </c>
      <c r="H164" s="222">
        <f t="shared" si="87"/>
        <v>18.50314427586207</v>
      </c>
      <c r="I164" s="223">
        <f t="shared" si="88"/>
        <v>277.55</v>
      </c>
      <c r="J164" s="299">
        <f t="shared" si="80"/>
        <v>1.7691511166113127E-3</v>
      </c>
    </row>
    <row r="165" spans="1:10" ht="22.5" customHeight="1" x14ac:dyDescent="0.25">
      <c r="A165" s="211"/>
      <c r="B165" s="158"/>
      <c r="C165" s="191"/>
      <c r="D165" s="220" t="s">
        <v>275</v>
      </c>
      <c r="E165" s="198"/>
      <c r="F165" s="247"/>
      <c r="G165" s="221"/>
      <c r="H165" s="222"/>
      <c r="I165" s="223"/>
      <c r="J165" s="299">
        <f t="shared" si="80"/>
        <v>0</v>
      </c>
    </row>
    <row r="166" spans="1:10" ht="30" x14ac:dyDescent="0.25">
      <c r="A166" s="211" t="s">
        <v>514</v>
      </c>
      <c r="B166" s="191">
        <v>98529</v>
      </c>
      <c r="C166" s="191" t="s">
        <v>10</v>
      </c>
      <c r="D166" s="197" t="str">
        <f>VLOOKUP(B166,'CPU serviços'!B:G,3,0)</f>
        <v>CORTE RASO E RECORTE DE ÁRVORE COM DIÂMETRO DE TRONCO MAIOR OU IGUAL A 0,20 M E MENOR QUE 0,40 M.AF_05/2018</v>
      </c>
      <c r="E166" s="198" t="str">
        <f>VLOOKUP(B166,'CPU serviços'!B:G,4,0)</f>
        <v>UN</v>
      </c>
      <c r="F166" s="247">
        <f>'MEMORIA DE CALCULO'!G183</f>
        <v>2</v>
      </c>
      <c r="G166" s="221">
        <f>VLOOKUP(B166,'CPU serviços'!B:G,5,0)</f>
        <v>62.43</v>
      </c>
      <c r="H166" s="222">
        <f t="shared" si="87"/>
        <v>78.796132137931039</v>
      </c>
      <c r="I166" s="223">
        <f t="shared" si="88"/>
        <v>157.59</v>
      </c>
      <c r="J166" s="299">
        <f t="shared" si="80"/>
        <v>1.004505582658176E-3</v>
      </c>
    </row>
    <row r="167" spans="1:10" ht="22.5" customHeight="1" x14ac:dyDescent="0.25">
      <c r="A167" s="261">
        <v>3</v>
      </c>
      <c r="B167" s="262"/>
      <c r="C167" s="293"/>
      <c r="D167" s="263" t="s">
        <v>621</v>
      </c>
      <c r="E167" s="262"/>
      <c r="F167" s="264"/>
      <c r="G167" s="471" t="s">
        <v>650</v>
      </c>
      <c r="H167" s="472"/>
      <c r="I167" s="265">
        <f>SUM(I168:I171)</f>
        <v>7475.05</v>
      </c>
      <c r="J167" s="299">
        <f t="shared" si="80"/>
        <v>4.764724573671552E-2</v>
      </c>
    </row>
    <row r="168" spans="1:10" ht="22.5" customHeight="1" x14ac:dyDescent="0.25">
      <c r="A168" s="211" t="s">
        <v>70</v>
      </c>
      <c r="B168" s="220">
        <v>4805750</v>
      </c>
      <c r="C168" s="191" t="s">
        <v>14</v>
      </c>
      <c r="D168" s="197" t="str">
        <f>VLOOKUP(B168,'CPU serviços'!B:G,3,0)</f>
        <v xml:space="preserve">Escavação manual em material de 1ª categoria na profundidade de até 1 m </v>
      </c>
      <c r="E168" s="198" t="str">
        <f>VLOOKUP(B168,'CPU serviços'!B:G,4,0)</f>
        <v>m³</v>
      </c>
      <c r="F168" s="247">
        <f>'MEMORIA DE CALCULO'!G189+'MEMORIA DE CALCULO'!G191+'MEMORIA DE CALCULO'!G194+'MEMORIA DE CALCULO'!G197+'MEMORIA DE CALCULO'!G198+'MEMORIA DE CALCULO'!G199+'MEMORIA DE CALCULO'!G200+'MEMORIA DE CALCULO'!G201</f>
        <v>49.625</v>
      </c>
      <c r="G168" s="221">
        <f>VLOOKUP(B168,'CPU serviços'!B:G,5,0)</f>
        <v>41.95</v>
      </c>
      <c r="H168" s="222">
        <f t="shared" ref="H168" si="89">((G168*$I$7)+G168)</f>
        <v>52.94726482758621</v>
      </c>
      <c r="I168" s="223">
        <f t="shared" ref="I168" si="90">ROUND(H168*F168,2)</f>
        <v>2627.51</v>
      </c>
      <c r="J168" s="299">
        <f t="shared" si="80"/>
        <v>1.6748197623517889E-2</v>
      </c>
    </row>
    <row r="169" spans="1:10" ht="22.5" customHeight="1" x14ac:dyDescent="0.25">
      <c r="A169" s="211" t="s">
        <v>72</v>
      </c>
      <c r="B169" s="220">
        <v>4805751</v>
      </c>
      <c r="C169" s="191" t="s">
        <v>14</v>
      </c>
      <c r="D169" s="197" t="str">
        <f>VLOOKUP(B169,'CPU serviços'!B:G,3,0)</f>
        <v xml:space="preserve">Escavação manual em material de 1ª categoria na profundidade de 1 a 2 m </v>
      </c>
      <c r="E169" s="198" t="str">
        <f>VLOOKUP(B169,'CPU serviços'!B:G,4,0)</f>
        <v>m³</v>
      </c>
      <c r="F169" s="247">
        <f>'MEMORIA DE CALCULO'!G192+'MEMORIA DE CALCULO'!G195+'MEMORIA DE CALCULO'!G203</f>
        <v>21.5</v>
      </c>
      <c r="G169" s="221">
        <f>VLOOKUP(B169,'CPU serviços'!B:G,5,0)</f>
        <v>52.44</v>
      </c>
      <c r="H169" s="222">
        <f t="shared" ref="H169:H171" si="91">((G169*$I$7)+G169)</f>
        <v>66.187236413793102</v>
      </c>
      <c r="I169" s="223">
        <f t="shared" ref="I169:I171" si="92">ROUND(H169*F169,2)</f>
        <v>1423.03</v>
      </c>
      <c r="J169" s="299">
        <f t="shared" si="80"/>
        <v>9.070636330287863E-3</v>
      </c>
    </row>
    <row r="170" spans="1:10" ht="22.5" customHeight="1" x14ac:dyDescent="0.25">
      <c r="A170" s="211" t="s">
        <v>601</v>
      </c>
      <c r="B170" s="220">
        <v>4805760</v>
      </c>
      <c r="C170" s="191" t="s">
        <v>14</v>
      </c>
      <c r="D170" s="197" t="str">
        <f>VLOOKUP(B170,'CPU serviços'!B:G,3,0)</f>
        <v>Escavação manual em material de 2ª categoria na profundidade de até 1 m</v>
      </c>
      <c r="E170" s="198" t="str">
        <f>VLOOKUP(B170,'CPU serviços'!B:G,4,0)</f>
        <v>m³</v>
      </c>
      <c r="F170" s="247">
        <f>'MEMORIA DE CALCULO'!G187+'MEMORIA DE CALCULO'!G190+'MEMORIA DE CALCULO'!G202</f>
        <v>27</v>
      </c>
      <c r="G170" s="221">
        <f>VLOOKUP(B170,'CPU serviços'!B:G,5,0)</f>
        <v>58.87</v>
      </c>
      <c r="H170" s="222">
        <f t="shared" si="91"/>
        <v>74.302871999999994</v>
      </c>
      <c r="I170" s="223">
        <f t="shared" si="92"/>
        <v>2006.18</v>
      </c>
      <c r="J170" s="299">
        <f t="shared" si="80"/>
        <v>1.2787734055569388E-2</v>
      </c>
    </row>
    <row r="171" spans="1:10" ht="30.75" customHeight="1" x14ac:dyDescent="0.25">
      <c r="A171" s="211" t="s">
        <v>602</v>
      </c>
      <c r="B171" s="191">
        <v>98529</v>
      </c>
      <c r="C171" s="191" t="s">
        <v>10</v>
      </c>
      <c r="D171" s="197" t="str">
        <f>VLOOKUP(B171,'CPU serviços'!B:G,3,0)</f>
        <v>CORTE RASO E RECORTE DE ÁRVORE COM DIÂMETRO DE TRONCO MAIOR OU IGUAL A 0,20 M E MENOR QUE 0,40 M.AF_05/2018</v>
      </c>
      <c r="E171" s="198" t="str">
        <f>VLOOKUP(B171,'CPU serviços'!B:G,4,0)</f>
        <v>UN</v>
      </c>
      <c r="F171" s="247">
        <f>'MEMORIA DE CALCULO'!G188+'MEMORIA DE CALCULO'!G193+'MEMORIA DE CALCULO'!G196</f>
        <v>18</v>
      </c>
      <c r="G171" s="221">
        <f>VLOOKUP(B171,'CPU serviços'!B:G,5,0)</f>
        <v>62.43</v>
      </c>
      <c r="H171" s="222">
        <f t="shared" si="91"/>
        <v>78.796132137931039</v>
      </c>
      <c r="I171" s="223">
        <f t="shared" si="92"/>
        <v>1418.33</v>
      </c>
      <c r="J171" s="299">
        <f t="shared" si="80"/>
        <v>9.0406777273403828E-3</v>
      </c>
    </row>
    <row r="172" spans="1:10" ht="22.5" customHeight="1" x14ac:dyDescent="0.25">
      <c r="A172" s="275">
        <v>4</v>
      </c>
      <c r="B172" s="276"/>
      <c r="C172" s="295"/>
      <c r="D172" s="276" t="s">
        <v>622</v>
      </c>
      <c r="E172" s="276"/>
      <c r="F172" s="277"/>
      <c r="G172" s="471" t="s">
        <v>650</v>
      </c>
      <c r="H172" s="472"/>
      <c r="I172" s="278">
        <f>SUM(I173,I175)</f>
        <v>4222.6000000000004</v>
      </c>
      <c r="J172" s="299">
        <f t="shared" si="80"/>
        <v>2.6915573788517132E-2</v>
      </c>
    </row>
    <row r="173" spans="1:10" ht="22.5" customHeight="1" x14ac:dyDescent="0.25">
      <c r="A173" s="235" t="s">
        <v>261</v>
      </c>
      <c r="B173" s="236"/>
      <c r="C173" s="296"/>
      <c r="D173" s="236" t="s">
        <v>138</v>
      </c>
      <c r="E173" s="236"/>
      <c r="F173" s="244"/>
      <c r="G173" s="438" t="s">
        <v>649</v>
      </c>
      <c r="H173" s="439"/>
      <c r="I173" s="237">
        <f>SUM(I174)</f>
        <v>1664.38</v>
      </c>
      <c r="J173" s="299">
        <f t="shared" si="80"/>
        <v>1.0609042462495178E-2</v>
      </c>
    </row>
    <row r="174" spans="1:10" ht="30" x14ac:dyDescent="0.25">
      <c r="A174" s="238" t="s">
        <v>76</v>
      </c>
      <c r="B174" s="239" t="s">
        <v>619</v>
      </c>
      <c r="C174" s="240" t="s">
        <v>620</v>
      </c>
      <c r="D174" s="1" t="s">
        <v>605</v>
      </c>
      <c r="E174" s="240" t="s">
        <v>264</v>
      </c>
      <c r="F174" s="247">
        <v>2</v>
      </c>
      <c r="G174" s="221">
        <v>659.34</v>
      </c>
      <c r="H174" s="241">
        <f t="shared" ref="H174" si="93">ROUND(G174+G174*$I$7,2)</f>
        <v>832.19</v>
      </c>
      <c r="I174" s="242">
        <f t="shared" ref="I174:I176" si="94">ROUND(H174*F174,2)</f>
        <v>1664.38</v>
      </c>
      <c r="J174" s="299">
        <f t="shared" si="80"/>
        <v>1.0609042462495178E-2</v>
      </c>
    </row>
    <row r="175" spans="1:10" ht="15.75" x14ac:dyDescent="0.25">
      <c r="A175" s="235" t="s">
        <v>262</v>
      </c>
      <c r="B175" s="236"/>
      <c r="C175" s="296"/>
      <c r="D175" s="236" t="s">
        <v>662</v>
      </c>
      <c r="E175" s="236"/>
      <c r="F175" s="244"/>
      <c r="G175" s="438" t="s">
        <v>649</v>
      </c>
      <c r="H175" s="439"/>
      <c r="I175" s="237">
        <f>SUM(I176:I178)</f>
        <v>2558.2199999999998</v>
      </c>
      <c r="J175" s="299"/>
    </row>
    <row r="176" spans="1:10" ht="22.5" customHeight="1" thickBot="1" x14ac:dyDescent="0.3">
      <c r="A176" s="279" t="s">
        <v>661</v>
      </c>
      <c r="B176" s="280">
        <v>4915708</v>
      </c>
      <c r="C176" s="281" t="s">
        <v>14</v>
      </c>
      <c r="D176" s="197" t="str">
        <f>VLOOKUP(B176,'CPU serviços'!B:G,3,0)</f>
        <v xml:space="preserve">Limpeza de sarjeta e meio-fio </v>
      </c>
      <c r="E176" s="198" t="str">
        <f>VLOOKUP(B176,'CPU serviços'!B:G,4,0)</f>
        <v>m</v>
      </c>
      <c r="F176" s="282">
        <f>'MEMORIA DE CALCULO'!G205</f>
        <v>2937.5</v>
      </c>
      <c r="G176" s="221">
        <f>VLOOKUP(B176,'CPU serviços'!B:G,5,0)</f>
        <v>0.69</v>
      </c>
      <c r="H176" s="222">
        <f t="shared" ref="H176" si="95">((G176*$I$7)+G176)</f>
        <v>0.87088468965517229</v>
      </c>
      <c r="I176" s="223">
        <f t="shared" si="94"/>
        <v>2558.2199999999998</v>
      </c>
      <c r="J176" s="299">
        <f t="shared" si="80"/>
        <v>1.6306531326021948E-2</v>
      </c>
    </row>
    <row r="177" spans="1:9" ht="20.25" x14ac:dyDescent="0.25">
      <c r="A177" s="283"/>
      <c r="B177" s="284"/>
      <c r="C177" s="297"/>
      <c r="D177" s="465" t="s">
        <v>603</v>
      </c>
      <c r="E177" s="287"/>
      <c r="F177" s="288"/>
      <c r="G177" s="289"/>
      <c r="H177" s="467">
        <f>SUM(I172+I167+I15+I10)</f>
        <v>156883.14999999997</v>
      </c>
      <c r="I177" s="468"/>
    </row>
    <row r="178" spans="1:9" ht="21" thickBot="1" x14ac:dyDescent="0.3">
      <c r="A178" s="285"/>
      <c r="B178" s="286"/>
      <c r="C178" s="298"/>
      <c r="D178" s="466"/>
      <c r="E178" s="290"/>
      <c r="F178" s="291"/>
      <c r="G178" s="292"/>
      <c r="H178" s="469"/>
      <c r="I178" s="470"/>
    </row>
  </sheetData>
  <autoFilter ref="A9:I178" xr:uid="{59DFF8F1-0E6D-43FA-BBBB-59FCCB1FD9FB}"/>
  <mergeCells count="33">
    <mergeCell ref="G7:H7"/>
    <mergeCell ref="A8:I8"/>
    <mergeCell ref="A4:I4"/>
    <mergeCell ref="G124:H124"/>
    <mergeCell ref="G128:H128"/>
    <mergeCell ref="A1:I1"/>
    <mergeCell ref="A2:I2"/>
    <mergeCell ref="A3:I3"/>
    <mergeCell ref="A5:E5"/>
    <mergeCell ref="G6:H6"/>
    <mergeCell ref="G99:H99"/>
    <mergeCell ref="G107:H107"/>
    <mergeCell ref="G167:H167"/>
    <mergeCell ref="G117:H117"/>
    <mergeCell ref="G175:H175"/>
    <mergeCell ref="G142:H142"/>
    <mergeCell ref="G151:H151"/>
    <mergeCell ref="G159:H159"/>
    <mergeCell ref="G40:H40"/>
    <mergeCell ref="G49:H49"/>
    <mergeCell ref="G62:H62"/>
    <mergeCell ref="G76:H76"/>
    <mergeCell ref="G85:H85"/>
    <mergeCell ref="G10:H10"/>
    <mergeCell ref="G16:H16"/>
    <mergeCell ref="G15:H15"/>
    <mergeCell ref="G23:H23"/>
    <mergeCell ref="G29:H29"/>
    <mergeCell ref="G111:H111"/>
    <mergeCell ref="G173:H173"/>
    <mergeCell ref="G172:H172"/>
    <mergeCell ref="D177:D178"/>
    <mergeCell ref="H177:I178"/>
  </mergeCells>
  <phoneticPr fontId="48" type="noConversion"/>
  <printOptions horizontalCentered="1"/>
  <pageMargins left="0.11811023622047245" right="0.11811023622047245" top="0.59055118110236227" bottom="0.59055118110236227" header="0.31496062992125984" footer="0.31496062992125984"/>
  <pageSetup paperSize="9" scale="4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965B3-343D-405F-B035-A24071D81C9B}">
  <sheetPr>
    <tabColor theme="4" tint="-0.249977111117893"/>
  </sheetPr>
  <dimension ref="A1:H30"/>
  <sheetViews>
    <sheetView view="pageBreakPreview" zoomScale="115" zoomScaleSheetLayoutView="115" workbookViewId="0">
      <selection activeCell="B1" sqref="A1:F5"/>
    </sheetView>
  </sheetViews>
  <sheetFormatPr defaultRowHeight="14.25" x14ac:dyDescent="0.2"/>
  <cols>
    <col min="1" max="1" width="10.42578125" style="330" bestFit="1" customWidth="1"/>
    <col min="2" max="2" width="37.5703125" style="330" customWidth="1"/>
    <col min="3" max="3" width="21.140625" style="330" customWidth="1"/>
    <col min="4" max="4" width="21.5703125" style="330" customWidth="1"/>
    <col min="5" max="5" width="22.42578125" style="330" customWidth="1"/>
    <col min="6" max="6" width="22" style="330" customWidth="1"/>
    <col min="7" max="7" width="9.140625" style="330"/>
    <col min="8" max="8" width="11.140625" style="330" bestFit="1" customWidth="1"/>
    <col min="9" max="16384" width="9.140625" style="330"/>
  </cols>
  <sheetData>
    <row r="1" spans="1:8" ht="15" customHeight="1" x14ac:dyDescent="0.2">
      <c r="A1" s="328"/>
      <c r="B1" s="482" t="s">
        <v>664</v>
      </c>
      <c r="C1" s="482"/>
      <c r="D1" s="482"/>
      <c r="E1" s="482"/>
      <c r="F1" s="482"/>
      <c r="G1" s="329"/>
      <c r="H1" s="329"/>
    </row>
    <row r="2" spans="1:8" ht="15" customHeight="1" x14ac:dyDescent="0.2">
      <c r="A2" s="331"/>
      <c r="B2" s="483" t="s">
        <v>625</v>
      </c>
      <c r="C2" s="483"/>
      <c r="D2" s="483"/>
      <c r="E2" s="483"/>
      <c r="F2" s="483"/>
      <c r="G2" s="329"/>
      <c r="H2" s="329"/>
    </row>
    <row r="3" spans="1:8" ht="15.75" customHeight="1" thickBot="1" x14ac:dyDescent="0.25">
      <c r="A3" s="332"/>
      <c r="B3" s="484" t="s">
        <v>626</v>
      </c>
      <c r="C3" s="484"/>
      <c r="D3" s="484"/>
      <c r="E3" s="484"/>
      <c r="F3" s="484"/>
      <c r="G3" s="329"/>
      <c r="H3" s="329"/>
    </row>
    <row r="4" spans="1:8" ht="15" thickBot="1" x14ac:dyDescent="0.25">
      <c r="A4" s="328"/>
      <c r="B4" s="333"/>
      <c r="C4" s="333"/>
      <c r="D4" s="333"/>
      <c r="E4" s="333"/>
      <c r="F4" s="333"/>
      <c r="G4" s="329"/>
      <c r="H4" s="329"/>
    </row>
    <row r="5" spans="1:8" ht="56.25" customHeight="1" thickBot="1" x14ac:dyDescent="0.25">
      <c r="A5" s="488" t="s">
        <v>73</v>
      </c>
      <c r="B5" s="489"/>
      <c r="C5" s="489"/>
      <c r="D5" s="489"/>
      <c r="E5" s="489"/>
      <c r="F5" s="489"/>
      <c r="G5" s="352"/>
      <c r="H5" s="353"/>
    </row>
    <row r="6" spans="1:8" x14ac:dyDescent="0.2">
      <c r="A6" s="350"/>
      <c r="B6" s="351"/>
      <c r="C6" s="351"/>
      <c r="D6" s="351"/>
      <c r="E6" s="351"/>
      <c r="F6" s="351"/>
      <c r="G6" s="329"/>
      <c r="H6" s="329"/>
    </row>
    <row r="7" spans="1:8" ht="15" thickBot="1" x14ac:dyDescent="0.25">
      <c r="A7" s="334"/>
      <c r="B7" s="335"/>
      <c r="C7" s="335"/>
      <c r="D7" s="335"/>
      <c r="E7" s="335"/>
      <c r="F7" s="335"/>
      <c r="G7" s="329"/>
      <c r="H7" s="329"/>
    </row>
    <row r="8" spans="1:8" ht="15" thickBot="1" x14ac:dyDescent="0.25">
      <c r="A8" s="486" t="s">
        <v>627</v>
      </c>
      <c r="B8" s="487"/>
      <c r="C8" s="487"/>
      <c r="D8" s="487"/>
      <c r="E8" s="487"/>
      <c r="F8" s="487"/>
      <c r="G8" s="329"/>
      <c r="H8" s="329"/>
    </row>
    <row r="9" spans="1:8" ht="15" thickBot="1" x14ac:dyDescent="0.25">
      <c r="A9" s="336"/>
      <c r="B9" s="337"/>
      <c r="C9" s="337"/>
      <c r="D9" s="337"/>
      <c r="E9" s="337"/>
      <c r="F9" s="337"/>
      <c r="G9" s="329"/>
      <c r="H9" s="329"/>
    </row>
    <row r="10" spans="1:8" x14ac:dyDescent="0.2">
      <c r="A10" s="338" t="s">
        <v>53</v>
      </c>
      <c r="B10" s="339" t="s">
        <v>55</v>
      </c>
      <c r="C10" s="339" t="s">
        <v>628</v>
      </c>
      <c r="D10" s="339" t="s">
        <v>629</v>
      </c>
      <c r="E10" s="339" t="s">
        <v>630</v>
      </c>
      <c r="F10" s="339" t="s">
        <v>631</v>
      </c>
      <c r="G10" s="329"/>
      <c r="H10" s="329"/>
    </row>
    <row r="11" spans="1:8" x14ac:dyDescent="0.2">
      <c r="A11" s="485">
        <v>1</v>
      </c>
      <c r="B11" s="479" t="s">
        <v>636</v>
      </c>
      <c r="C11" s="340">
        <f>C12/$C$19</f>
        <v>0.35121706824474136</v>
      </c>
      <c r="D11" s="341">
        <f>D12/$C$12</f>
        <v>0.4040857320611746</v>
      </c>
      <c r="E11" s="341">
        <f t="shared" ref="E11:F11" si="0">E12/$C$12</f>
        <v>0.25334228432502048</v>
      </c>
      <c r="F11" s="341">
        <f t="shared" si="0"/>
        <v>0.34257198361380503</v>
      </c>
      <c r="G11" s="329"/>
      <c r="H11" s="342">
        <f>SUM(D11:F11)</f>
        <v>1</v>
      </c>
    </row>
    <row r="12" spans="1:8" x14ac:dyDescent="0.2">
      <c r="A12" s="485"/>
      <c r="B12" s="479"/>
      <c r="C12" s="343">
        <f>Orçamento_Sintético!I10</f>
        <v>55100.039999999994</v>
      </c>
      <c r="D12" s="360">
        <f>Orçamento_Sintético!I14+Orçamento_Sintético!I12+(Orçamento_Sintético!I11/3)</f>
        <v>22265.14</v>
      </c>
      <c r="E12" s="360">
        <f>Orçamento_Sintético!I11/3</f>
        <v>13959.17</v>
      </c>
      <c r="F12" s="360">
        <f>(Orçamento_Sintético!I11/3)+Orçamento_Sintético!I13</f>
        <v>18875.73</v>
      </c>
      <c r="G12" s="329"/>
      <c r="H12" s="344">
        <f>SUM(D12:F12)-C12</f>
        <v>0</v>
      </c>
    </row>
    <row r="13" spans="1:8" x14ac:dyDescent="0.2">
      <c r="A13" s="485">
        <v>2</v>
      </c>
      <c r="B13" s="479" t="s">
        <v>482</v>
      </c>
      <c r="C13" s="340">
        <f>C14/$C$19</f>
        <v>0.57422011223002589</v>
      </c>
      <c r="D13" s="341">
        <f>D14/$C$14</f>
        <v>0.21108889270255157</v>
      </c>
      <c r="E13" s="341">
        <f t="shared" ref="E13:F13" si="1">E14/$C$14</f>
        <v>0.62599513839414267</v>
      </c>
      <c r="F13" s="341">
        <f t="shared" si="1"/>
        <v>0.16291596890330584</v>
      </c>
      <c r="G13" s="329"/>
      <c r="H13" s="342">
        <f>SUM(D13:F13)</f>
        <v>1</v>
      </c>
    </row>
    <row r="14" spans="1:8" x14ac:dyDescent="0.2">
      <c r="A14" s="485"/>
      <c r="B14" s="479"/>
      <c r="C14" s="343">
        <f>Orçamento_Sintético!I15</f>
        <v>90085.459999999992</v>
      </c>
      <c r="D14" s="360">
        <f>SUM(Orçamento_Sintético!I16,Orçamento_Sintético!I23,Orçamento_Sintético!I29,Orçamento_Sintético!I40)</f>
        <v>19016.04</v>
      </c>
      <c r="E14" s="360">
        <f>SUM(Orçamento_Sintético!I49,Orçamento_Sintético!I62,Orçamento_Sintético!I76,Orçamento_Sintético!I85)</f>
        <v>56393.06</v>
      </c>
      <c r="F14" s="360">
        <f>SUM(Orçamento_Sintético!I99,Orçamento_Sintético!I107,Orçamento_Sintético!I111,Orçamento_Sintético!I117,Orçamento_Sintético!I124,Orçamento_Sintético!I128,Orçamento_Sintético!I142,Orçamento_Sintético!I151,Orçamento_Sintético!I159)</f>
        <v>14676.36</v>
      </c>
      <c r="G14" s="329"/>
      <c r="H14" s="344">
        <f>SUM(D14:F14)-C14</f>
        <v>0</v>
      </c>
    </row>
    <row r="15" spans="1:8" x14ac:dyDescent="0.2">
      <c r="A15" s="485">
        <v>3</v>
      </c>
      <c r="B15" s="479" t="s">
        <v>621</v>
      </c>
      <c r="C15" s="340">
        <f>C16/$C$19</f>
        <v>4.7647245736715513E-2</v>
      </c>
      <c r="D15" s="341">
        <f>D16/$C$16</f>
        <v>0.61988749239135532</v>
      </c>
      <c r="E15" s="341">
        <f t="shared" ref="E15:F17" si="2">E16/$C$16</f>
        <v>0.38011250760864468</v>
      </c>
      <c r="F15" s="341">
        <f t="shared" si="2"/>
        <v>0</v>
      </c>
      <c r="G15" s="329"/>
      <c r="H15" s="342">
        <f>SUM(D15:F15)</f>
        <v>1</v>
      </c>
    </row>
    <row r="16" spans="1:8" x14ac:dyDescent="0.2">
      <c r="A16" s="485"/>
      <c r="B16" s="479"/>
      <c r="C16" s="343">
        <f>Orçamento_Sintético!I167</f>
        <v>7475.05</v>
      </c>
      <c r="D16" s="360">
        <f>SUM(Orçamento_Sintético!I168,Orçamento_Sintético!I170)</f>
        <v>4633.6900000000005</v>
      </c>
      <c r="E16" s="360">
        <f>SUM(Orçamento_Sintético!I169,Orçamento_Sintético!I171)</f>
        <v>2841.3599999999997</v>
      </c>
      <c r="F16" s="360"/>
      <c r="G16" s="329"/>
      <c r="H16" s="344">
        <f>SUM(D16:F16)-C16</f>
        <v>0</v>
      </c>
    </row>
    <row r="17" spans="1:8" x14ac:dyDescent="0.2">
      <c r="A17" s="485">
        <v>4</v>
      </c>
      <c r="B17" s="479" t="s">
        <v>622</v>
      </c>
      <c r="C17" s="340">
        <f>C18/$C$19</f>
        <v>2.6915573788517125E-2</v>
      </c>
      <c r="D17" s="341">
        <f>D18/$C$18</f>
        <v>0.60584000378913461</v>
      </c>
      <c r="E17" s="341">
        <f>E18/$C$18</f>
        <v>0.39415999621086534</v>
      </c>
      <c r="F17" s="341">
        <f t="shared" si="2"/>
        <v>0</v>
      </c>
      <c r="G17" s="329"/>
      <c r="H17" s="342">
        <f>SUM(D17:F17)</f>
        <v>1</v>
      </c>
    </row>
    <row r="18" spans="1:8" ht="15" thickBot="1" x14ac:dyDescent="0.25">
      <c r="A18" s="485"/>
      <c r="B18" s="479"/>
      <c r="C18" s="343">
        <f>Orçamento_Sintético!I172</f>
        <v>4222.6000000000004</v>
      </c>
      <c r="D18" s="360">
        <f>Orçamento_Sintético!I176</f>
        <v>2558.2199999999998</v>
      </c>
      <c r="E18" s="360">
        <f>SUM(Orçamento_Sintético!I174)</f>
        <v>1664.38</v>
      </c>
      <c r="F18" s="360"/>
      <c r="G18" s="329"/>
      <c r="H18" s="344">
        <f>SUM(D18:F18)-C18</f>
        <v>0</v>
      </c>
    </row>
    <row r="19" spans="1:8" x14ac:dyDescent="0.2">
      <c r="A19" s="473" t="s">
        <v>632</v>
      </c>
      <c r="B19" s="474"/>
      <c r="C19" s="475">
        <f>SUM(C12,C14,C16,C18)</f>
        <v>156883.15</v>
      </c>
      <c r="D19" s="345">
        <f>D20/$C$19</f>
        <v>0.30897575679733613</v>
      </c>
      <c r="E19" s="345">
        <f t="shared" ref="E19:F19" si="3">E20/$C$19</f>
        <v>0.47715748950731807</v>
      </c>
      <c r="F19" s="345">
        <f t="shared" si="3"/>
        <v>0.21386675369534586</v>
      </c>
      <c r="G19" s="329"/>
      <c r="H19" s="329"/>
    </row>
    <row r="20" spans="1:8" x14ac:dyDescent="0.2">
      <c r="A20" s="478" t="s">
        <v>633</v>
      </c>
      <c r="B20" s="479"/>
      <c r="C20" s="476"/>
      <c r="D20" s="346">
        <f>SUM(D12,D14,D16,D18)</f>
        <v>48473.090000000004</v>
      </c>
      <c r="E20" s="346">
        <f t="shared" ref="E20:F20" si="4">SUM(E12,E14,E16,E18)</f>
        <v>74857.97</v>
      </c>
      <c r="F20" s="346">
        <f t="shared" si="4"/>
        <v>33552.089999999997</v>
      </c>
      <c r="G20" s="329"/>
      <c r="H20" s="329"/>
    </row>
    <row r="21" spans="1:8" x14ac:dyDescent="0.2">
      <c r="A21" s="478" t="s">
        <v>634</v>
      </c>
      <c r="B21" s="479"/>
      <c r="C21" s="476"/>
      <c r="D21" s="347">
        <f>D19</f>
        <v>0.30897575679733613</v>
      </c>
      <c r="E21" s="347">
        <f>D21+E19</f>
        <v>0.7861332463046542</v>
      </c>
      <c r="F21" s="347">
        <f t="shared" ref="F21" si="5">E21+F19</f>
        <v>1</v>
      </c>
      <c r="G21" s="329"/>
      <c r="H21" s="329"/>
    </row>
    <row r="22" spans="1:8" ht="15" thickBot="1" x14ac:dyDescent="0.25">
      <c r="A22" s="480" t="s">
        <v>635</v>
      </c>
      <c r="B22" s="481"/>
      <c r="C22" s="477"/>
      <c r="D22" s="348">
        <f>D20</f>
        <v>48473.090000000004</v>
      </c>
      <c r="E22" s="348">
        <f>E20+D22</f>
        <v>123331.06</v>
      </c>
      <c r="F22" s="348">
        <f t="shared" ref="F22" si="6">F20+E22</f>
        <v>156883.15</v>
      </c>
      <c r="G22" s="329"/>
      <c r="H22" s="329"/>
    </row>
    <row r="23" spans="1:8" x14ac:dyDescent="0.2">
      <c r="A23" s="329"/>
      <c r="B23" s="329"/>
      <c r="C23" s="329"/>
      <c r="D23" s="349"/>
      <c r="E23" s="349"/>
      <c r="F23" s="349"/>
      <c r="G23" s="329"/>
      <c r="H23" s="329"/>
    </row>
    <row r="24" spans="1:8" x14ac:dyDescent="0.2">
      <c r="A24" s="329"/>
      <c r="B24" s="329"/>
      <c r="C24" s="329"/>
      <c r="D24" s="349"/>
      <c r="E24" s="349"/>
      <c r="F24" s="349"/>
      <c r="G24" s="329"/>
      <c r="H24" s="329"/>
    </row>
    <row r="25" spans="1:8" x14ac:dyDescent="0.2">
      <c r="A25" s="329"/>
      <c r="B25" s="329"/>
      <c r="C25" s="329"/>
      <c r="D25" s="349"/>
      <c r="E25" s="349"/>
      <c r="F25" s="349"/>
      <c r="G25" s="329"/>
      <c r="H25" s="329"/>
    </row>
    <row r="26" spans="1:8" x14ac:dyDescent="0.2">
      <c r="A26" s="329"/>
      <c r="B26" s="329"/>
      <c r="C26" s="329"/>
      <c r="D26" s="349">
        <f>D12+D14+D16</f>
        <v>45914.87</v>
      </c>
      <c r="E26" s="349">
        <f>E12+E14+E16</f>
        <v>73193.59</v>
      </c>
      <c r="F26" s="349">
        <f>F12+F14+F16</f>
        <v>33552.089999999997</v>
      </c>
      <c r="G26" s="329"/>
      <c r="H26" s="329"/>
    </row>
    <row r="27" spans="1:8" x14ac:dyDescent="0.2">
      <c r="A27" s="329"/>
      <c r="B27" s="329"/>
      <c r="C27" s="329"/>
      <c r="D27" s="349">
        <f>C19-'[3]Orçamento Sintético'!I11</f>
        <v>86936.87</v>
      </c>
      <c r="E27" s="349">
        <f t="shared" ref="E27:F27" si="7">D27</f>
        <v>86936.87</v>
      </c>
      <c r="F27" s="349">
        <f t="shared" si="7"/>
        <v>86936.87</v>
      </c>
      <c r="G27" s="329"/>
      <c r="H27" s="329"/>
    </row>
    <row r="28" spans="1:8" x14ac:dyDescent="0.2">
      <c r="A28" s="329"/>
      <c r="B28" s="329"/>
      <c r="C28" s="329"/>
      <c r="D28" s="349">
        <f t="shared" ref="D28:F28" si="8">D26/D27</f>
        <v>0.52814036208112858</v>
      </c>
      <c r="E28" s="349">
        <f t="shared" si="8"/>
        <v>0.8419165539316058</v>
      </c>
      <c r="F28" s="349">
        <f t="shared" si="8"/>
        <v>0.38593625466387277</v>
      </c>
      <c r="G28" s="329"/>
      <c r="H28" s="329"/>
    </row>
    <row r="30" spans="1:8" x14ac:dyDescent="0.2">
      <c r="D30" s="330">
        <v>0.28321903105225776</v>
      </c>
      <c r="E30" s="330">
        <v>0.35461967259695537</v>
      </c>
      <c r="F30" s="330">
        <v>0.28100148215126131</v>
      </c>
    </row>
  </sheetData>
  <mergeCells count="18">
    <mergeCell ref="B17:B18"/>
    <mergeCell ref="B1:F1"/>
    <mergeCell ref="B2:F2"/>
    <mergeCell ref="B3:F3"/>
    <mergeCell ref="A13:A14"/>
    <mergeCell ref="B13:B14"/>
    <mergeCell ref="A15:A16"/>
    <mergeCell ref="B15:B16"/>
    <mergeCell ref="A17:A18"/>
    <mergeCell ref="A8:F8"/>
    <mergeCell ref="A11:A12"/>
    <mergeCell ref="B11:B12"/>
    <mergeCell ref="A5:F5"/>
    <mergeCell ref="A19:B19"/>
    <mergeCell ref="C19:C22"/>
    <mergeCell ref="A20:B20"/>
    <mergeCell ref="A21:B21"/>
    <mergeCell ref="A22:B22"/>
  </mergeCells>
  <pageMargins left="0.511811024" right="0.511811024" top="0.78740157499999996" bottom="0.78740157499999996" header="0.31496062000000002" footer="0.31496062000000002"/>
  <pageSetup paperSize="9" scale="68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1265" r:id="rId4">
          <objectPr defaultSize="0" autoPict="0" altText="" r:id="rId5">
            <anchor moveWithCells="1" sizeWithCells="1">
              <from>
                <xdr:col>0</xdr:col>
                <xdr:colOff>38100</xdr:colOff>
                <xdr:row>0</xdr:row>
                <xdr:rowOff>57150</xdr:rowOff>
              </from>
              <to>
                <xdr:col>1</xdr:col>
                <xdr:colOff>1409700</xdr:colOff>
                <xdr:row>2</xdr:row>
                <xdr:rowOff>152400</xdr:rowOff>
              </to>
            </anchor>
          </objectPr>
        </oleObject>
      </mc:Choice>
      <mc:Fallback>
        <oleObject progId="Figura do Microsoft Photo Editor 3.0"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83DC2-DDD5-4F43-A75D-913B0886FD2F}">
  <sheetPr>
    <pageSetUpPr fitToPage="1"/>
  </sheetPr>
  <dimension ref="A1:H36"/>
  <sheetViews>
    <sheetView zoomScale="70" zoomScaleNormal="70" workbookViewId="0">
      <pane ySplit="7" topLeftCell="A8" activePane="bottomLeft" state="frozen"/>
      <selection activeCell="B1" sqref="B1"/>
      <selection pane="bottomLeft" activeCell="D6" sqref="D6"/>
    </sheetView>
  </sheetViews>
  <sheetFormatPr defaultRowHeight="15" x14ac:dyDescent="0.25"/>
  <cols>
    <col min="1" max="1" width="10" style="3" bestFit="1" customWidth="1"/>
    <col min="2" max="2" width="16.42578125" style="5" customWidth="1"/>
    <col min="3" max="3" width="21.140625" style="5" bestFit="1" customWidth="1"/>
    <col min="4" max="4" width="75" style="176" customWidth="1"/>
    <col min="5" max="5" width="0.140625" style="3" customWidth="1"/>
    <col min="6" max="6" width="13.7109375" style="4" bestFit="1" customWidth="1"/>
    <col min="7" max="7" width="13.7109375" style="4" customWidth="1"/>
    <col min="8" max="8" width="98.140625" style="2" customWidth="1"/>
    <col min="9" max="16384" width="9.140625" style="3"/>
  </cols>
  <sheetData>
    <row r="1" spans="1:8" x14ac:dyDescent="0.2">
      <c r="A1" s="328"/>
      <c r="B1" s="482" t="s">
        <v>664</v>
      </c>
      <c r="C1" s="482"/>
      <c r="D1" s="482"/>
      <c r="E1" s="482"/>
      <c r="F1" s="482"/>
    </row>
    <row r="2" spans="1:8" x14ac:dyDescent="0.2">
      <c r="A2" s="331"/>
      <c r="B2" s="483" t="s">
        <v>625</v>
      </c>
      <c r="C2" s="483"/>
      <c r="D2" s="483"/>
      <c r="E2" s="483"/>
      <c r="F2" s="483"/>
    </row>
    <row r="3" spans="1:8" ht="15.75" thickBot="1" x14ac:dyDescent="0.25">
      <c r="A3" s="332"/>
      <c r="B3" s="484" t="s">
        <v>626</v>
      </c>
      <c r="C3" s="484"/>
      <c r="D3" s="484"/>
      <c r="E3" s="484"/>
      <c r="F3" s="484"/>
    </row>
    <row r="4" spans="1:8" ht="15.75" thickBot="1" x14ac:dyDescent="0.25">
      <c r="A4" s="328"/>
      <c r="B4" s="333"/>
      <c r="C4" s="333"/>
      <c r="D4" s="333"/>
      <c r="E4" s="333"/>
      <c r="F4" s="333"/>
    </row>
    <row r="5" spans="1:8" ht="15.75" thickBot="1" x14ac:dyDescent="0.3">
      <c r="A5" s="488" t="s">
        <v>73</v>
      </c>
      <c r="B5" s="489"/>
      <c r="C5" s="489"/>
      <c r="D5" s="489"/>
      <c r="E5" s="489"/>
      <c r="F5" s="489"/>
    </row>
    <row r="6" spans="1:8" ht="16.5" thickBot="1" x14ac:dyDescent="0.3">
      <c r="D6" s="175" t="s">
        <v>665</v>
      </c>
    </row>
    <row r="7" spans="1:8" ht="44.25" customHeight="1" x14ac:dyDescent="0.25">
      <c r="A7" s="203" t="s">
        <v>225</v>
      </c>
      <c r="B7" s="204" t="s">
        <v>474</v>
      </c>
      <c r="C7" s="204" t="s">
        <v>475</v>
      </c>
      <c r="D7" s="205" t="s">
        <v>476</v>
      </c>
      <c r="E7" s="206" t="s">
        <v>477</v>
      </c>
      <c r="F7" s="207" t="s">
        <v>132</v>
      </c>
      <c r="G7" s="208" t="s">
        <v>478</v>
      </c>
      <c r="H7" s="175" t="s">
        <v>35</v>
      </c>
    </row>
    <row r="8" spans="1:8" ht="30" x14ac:dyDescent="0.25">
      <c r="A8" s="190">
        <v>1</v>
      </c>
      <c r="B8" s="191">
        <v>4805750</v>
      </c>
      <c r="C8" s="191" t="s">
        <v>14</v>
      </c>
      <c r="D8" s="194" t="s">
        <v>41</v>
      </c>
      <c r="E8" s="191" t="s">
        <v>9</v>
      </c>
      <c r="F8" s="192">
        <v>41.95</v>
      </c>
      <c r="G8" s="195">
        <f>((F8*Orçamento_Sintético!$I$7)+F8)</f>
        <v>52.94726482758621</v>
      </c>
    </row>
    <row r="9" spans="1:8" ht="30" x14ac:dyDescent="0.25">
      <c r="A9" s="212">
        <v>2</v>
      </c>
      <c r="B9" s="191">
        <v>1106057</v>
      </c>
      <c r="C9" s="191" t="s">
        <v>14</v>
      </c>
      <c r="D9" s="194" t="s">
        <v>34</v>
      </c>
      <c r="E9" s="191" t="s">
        <v>9</v>
      </c>
      <c r="F9" s="192">
        <v>477.58</v>
      </c>
      <c r="G9" s="195">
        <f>((F9*Orçamento_Sintético!$I$7)+F9)</f>
        <v>602.77842041379301</v>
      </c>
      <c r="H9" s="2" t="s">
        <v>74</v>
      </c>
    </row>
    <row r="10" spans="1:8" x14ac:dyDescent="0.25">
      <c r="A10" s="190">
        <v>3</v>
      </c>
      <c r="B10" s="198">
        <v>4915710</v>
      </c>
      <c r="C10" s="191" t="s">
        <v>14</v>
      </c>
      <c r="D10" s="213" t="s">
        <v>144</v>
      </c>
      <c r="E10" s="191" t="s">
        <v>11</v>
      </c>
      <c r="F10" s="192">
        <v>4.1399999999999997</v>
      </c>
      <c r="G10" s="195">
        <f>((F10*Orçamento_Sintético!$I$7)+F10)</f>
        <v>5.2253081379310338</v>
      </c>
    </row>
    <row r="11" spans="1:8" ht="45" x14ac:dyDescent="0.25">
      <c r="A11" s="212">
        <v>4</v>
      </c>
      <c r="B11" s="191">
        <v>98529</v>
      </c>
      <c r="C11" s="196" t="s">
        <v>10</v>
      </c>
      <c r="D11" s="194" t="s">
        <v>488</v>
      </c>
      <c r="E11" s="191" t="s">
        <v>264</v>
      </c>
      <c r="F11" s="192">
        <v>62.43</v>
      </c>
      <c r="G11" s="195">
        <f>((F11*Orçamento_Sintético!$I$7)+F11)</f>
        <v>78.796132137931039</v>
      </c>
      <c r="H11" s="2" t="s">
        <v>453</v>
      </c>
    </row>
    <row r="12" spans="1:8" x14ac:dyDescent="0.25">
      <c r="A12" s="190">
        <v>5</v>
      </c>
      <c r="B12" s="198">
        <v>4915713</v>
      </c>
      <c r="C12" s="191" t="s">
        <v>14</v>
      </c>
      <c r="D12" s="213" t="s">
        <v>19</v>
      </c>
      <c r="E12" s="191" t="s">
        <v>9</v>
      </c>
      <c r="F12" s="192">
        <v>62.04</v>
      </c>
      <c r="G12" s="195">
        <f>((F12*Orçamento_Sintético!$I$7)+F12)</f>
        <v>78.303892965517235</v>
      </c>
    </row>
    <row r="13" spans="1:8" ht="30" x14ac:dyDescent="0.25">
      <c r="A13" s="212">
        <v>6</v>
      </c>
      <c r="B13" s="198">
        <v>97622</v>
      </c>
      <c r="C13" s="196" t="s">
        <v>10</v>
      </c>
      <c r="D13" s="224" t="s">
        <v>295</v>
      </c>
      <c r="E13" s="191" t="s">
        <v>9</v>
      </c>
      <c r="F13" s="192">
        <v>56.79</v>
      </c>
      <c r="G13" s="195">
        <f>((F13*Orçamento_Sintético!$I$7)+F13)</f>
        <v>71.677596413793097</v>
      </c>
      <c r="H13" s="2" t="s">
        <v>147</v>
      </c>
    </row>
    <row r="14" spans="1:8" ht="30" x14ac:dyDescent="0.25">
      <c r="A14" s="190">
        <v>7</v>
      </c>
      <c r="B14" s="191">
        <v>4016008</v>
      </c>
      <c r="C14" s="191" t="s">
        <v>14</v>
      </c>
      <c r="D14" s="219" t="s">
        <v>28</v>
      </c>
      <c r="E14" s="198" t="s">
        <v>9</v>
      </c>
      <c r="F14" s="192">
        <v>3.72</v>
      </c>
      <c r="G14" s="195">
        <f>((F14*Orçamento_Sintético!$I$7)+F14)</f>
        <v>4.6952044137931033</v>
      </c>
    </row>
    <row r="15" spans="1:8" ht="45" x14ac:dyDescent="0.25">
      <c r="A15" s="212">
        <v>8</v>
      </c>
      <c r="B15" s="191">
        <v>5914359</v>
      </c>
      <c r="C15" s="191" t="s">
        <v>14</v>
      </c>
      <c r="D15" s="219" t="s">
        <v>29</v>
      </c>
      <c r="E15" s="198" t="s">
        <v>30</v>
      </c>
      <c r="F15" s="192">
        <v>1.2</v>
      </c>
      <c r="G15" s="195">
        <f>((F15*Orçamento_Sintético!$I$7)+F15)</f>
        <v>1.5145820689655172</v>
      </c>
      <c r="H15" s="2" t="s">
        <v>455</v>
      </c>
    </row>
    <row r="16" spans="1:8" ht="30" x14ac:dyDescent="0.25">
      <c r="A16" s="190">
        <v>9</v>
      </c>
      <c r="B16" s="191">
        <v>4915774</v>
      </c>
      <c r="C16" s="191" t="s">
        <v>14</v>
      </c>
      <c r="D16" s="219" t="s">
        <v>26</v>
      </c>
      <c r="E16" s="198" t="s">
        <v>9</v>
      </c>
      <c r="F16" s="192">
        <v>23.08</v>
      </c>
      <c r="G16" s="195">
        <f>((F16*Orçamento_Sintético!$I$7)+F16)</f>
        <v>29.130461793103443</v>
      </c>
      <c r="H16" s="2" t="s">
        <v>36</v>
      </c>
    </row>
    <row r="17" spans="1:8" ht="30" x14ac:dyDescent="0.25">
      <c r="A17" s="212">
        <v>10</v>
      </c>
      <c r="B17" s="191">
        <v>2004504</v>
      </c>
      <c r="C17" s="191" t="s">
        <v>14</v>
      </c>
      <c r="D17" s="219" t="s">
        <v>37</v>
      </c>
      <c r="E17" s="191" t="s">
        <v>9</v>
      </c>
      <c r="F17" s="192">
        <v>15.53</v>
      </c>
      <c r="G17" s="195">
        <f>((F17*Orçamento_Sintético!$I$7)+F17)</f>
        <v>19.601216275862068</v>
      </c>
    </row>
    <row r="18" spans="1:8" ht="30" x14ac:dyDescent="0.25">
      <c r="A18" s="190">
        <v>11</v>
      </c>
      <c r="B18" s="191">
        <v>2003799</v>
      </c>
      <c r="C18" s="191" t="s">
        <v>14</v>
      </c>
      <c r="D18" s="219" t="s">
        <v>75</v>
      </c>
      <c r="E18" s="191" t="s">
        <v>11</v>
      </c>
      <c r="F18" s="192">
        <v>60.44</v>
      </c>
      <c r="G18" s="195">
        <f>((F18*Orçamento_Sintético!$I$7)+F18)</f>
        <v>76.284450206896551</v>
      </c>
    </row>
    <row r="19" spans="1:8" x14ac:dyDescent="0.25">
      <c r="A19" s="212">
        <v>12</v>
      </c>
      <c r="B19" s="214">
        <v>1600989</v>
      </c>
      <c r="C19" s="191" t="s">
        <v>14</v>
      </c>
      <c r="D19" s="219" t="s">
        <v>146</v>
      </c>
      <c r="E19" s="191" t="s">
        <v>9</v>
      </c>
      <c r="F19" s="192">
        <v>403.66</v>
      </c>
      <c r="G19" s="195">
        <f>((F19*Orçamento_Sintético!$I$7)+F19)</f>
        <v>509.48016496551725</v>
      </c>
    </row>
    <row r="20" spans="1:8" ht="30" x14ac:dyDescent="0.25">
      <c r="A20" s="190">
        <v>13</v>
      </c>
      <c r="B20" s="191">
        <v>1506055</v>
      </c>
      <c r="C20" s="191" t="s">
        <v>14</v>
      </c>
      <c r="D20" s="219" t="s">
        <v>145</v>
      </c>
      <c r="E20" s="191" t="s">
        <v>9</v>
      </c>
      <c r="F20" s="192">
        <v>438.98</v>
      </c>
      <c r="G20" s="195">
        <f>((F20*Orçamento_Sintético!$I$7)+F20)</f>
        <v>554.05936386206895</v>
      </c>
    </row>
    <row r="21" spans="1:8" x14ac:dyDescent="0.25">
      <c r="A21" s="212">
        <v>14</v>
      </c>
      <c r="B21" s="198">
        <v>4915712</v>
      </c>
      <c r="C21" s="191" t="s">
        <v>14</v>
      </c>
      <c r="D21" s="256" t="s">
        <v>25</v>
      </c>
      <c r="E21" s="191" t="s">
        <v>9</v>
      </c>
      <c r="F21" s="192">
        <v>20.68</v>
      </c>
      <c r="G21" s="195">
        <f>((F21*Orçamento_Sintético!$I$7)+F21)</f>
        <v>26.101297655172413</v>
      </c>
    </row>
    <row r="22" spans="1:8" ht="25.5" customHeight="1" x14ac:dyDescent="0.25">
      <c r="A22" s="190">
        <v>15</v>
      </c>
      <c r="B22" s="215">
        <v>1619004</v>
      </c>
      <c r="C22" s="191" t="s">
        <v>14</v>
      </c>
      <c r="D22" s="219" t="s">
        <v>47</v>
      </c>
      <c r="E22" s="191" t="s">
        <v>9</v>
      </c>
      <c r="F22" s="192">
        <v>7.56</v>
      </c>
      <c r="G22" s="195">
        <f>((F22*Orçamento_Sintético!$I$7)+F22)</f>
        <v>9.5418670344827579</v>
      </c>
    </row>
    <row r="23" spans="1:8" ht="30" x14ac:dyDescent="0.25">
      <c r="A23" s="212">
        <v>16</v>
      </c>
      <c r="B23" s="191">
        <v>1505878</v>
      </c>
      <c r="C23" s="191" t="s">
        <v>14</v>
      </c>
      <c r="D23" s="219" t="s">
        <v>18</v>
      </c>
      <c r="E23" s="191" t="s">
        <v>9</v>
      </c>
      <c r="F23" s="192">
        <v>170.62</v>
      </c>
      <c r="G23" s="195">
        <f>((F23*Orçamento_Sintético!$I$7)+F23)</f>
        <v>215.3483271724138</v>
      </c>
    </row>
    <row r="24" spans="1:8" x14ac:dyDescent="0.25">
      <c r="A24" s="190">
        <v>17</v>
      </c>
      <c r="B24" s="198">
        <v>4800412</v>
      </c>
      <c r="C24" s="191" t="s">
        <v>14</v>
      </c>
      <c r="D24" s="256" t="s">
        <v>16</v>
      </c>
      <c r="E24" s="191" t="s">
        <v>7</v>
      </c>
      <c r="F24" s="192">
        <v>4.2</v>
      </c>
      <c r="G24" s="195">
        <f>((F24*Orçamento_Sintético!$I$7)+F24)</f>
        <v>5.3010372413793103</v>
      </c>
      <c r="H24" s="2" t="s">
        <v>458</v>
      </c>
    </row>
    <row r="25" spans="1:8" ht="30" x14ac:dyDescent="0.25">
      <c r="A25" s="212">
        <v>18</v>
      </c>
      <c r="B25" s="191">
        <v>1106165</v>
      </c>
      <c r="C25" s="191" t="s">
        <v>14</v>
      </c>
      <c r="D25" s="219" t="s">
        <v>463</v>
      </c>
      <c r="E25" s="191" t="s">
        <v>9</v>
      </c>
      <c r="F25" s="192">
        <v>419.45</v>
      </c>
      <c r="G25" s="195">
        <f>((F25*Orçamento_Sintético!$I$7)+F25)</f>
        <v>529.40954068965516</v>
      </c>
    </row>
    <row r="26" spans="1:8" ht="25.5" customHeight="1" x14ac:dyDescent="0.25">
      <c r="A26" s="190">
        <v>19</v>
      </c>
      <c r="B26" s="191">
        <v>4915762</v>
      </c>
      <c r="C26" s="191" t="s">
        <v>14</v>
      </c>
      <c r="D26" s="219" t="s">
        <v>23</v>
      </c>
      <c r="E26" s="191" t="s">
        <v>11</v>
      </c>
      <c r="F26" s="192">
        <v>2.0699999999999998</v>
      </c>
      <c r="G26" s="195">
        <f>((F26*Orçamento_Sintético!$I$7)+F26)</f>
        <v>2.6126540689655169</v>
      </c>
    </row>
    <row r="27" spans="1:8" ht="30" x14ac:dyDescent="0.25">
      <c r="A27" s="212">
        <v>20</v>
      </c>
      <c r="B27" s="191">
        <v>2009619</v>
      </c>
      <c r="C27" s="191" t="s">
        <v>14</v>
      </c>
      <c r="D27" s="219" t="s">
        <v>469</v>
      </c>
      <c r="E27" s="191" t="s">
        <v>7</v>
      </c>
      <c r="F27" s="192">
        <v>118.13</v>
      </c>
      <c r="G27" s="195">
        <f>((F27*Orçamento_Sintético!$I$7)+F27)</f>
        <v>149.09798317241379</v>
      </c>
    </row>
    <row r="28" spans="1:8" x14ac:dyDescent="0.25">
      <c r="A28" s="190">
        <v>21</v>
      </c>
      <c r="B28" s="191">
        <v>4114</v>
      </c>
      <c r="C28" s="199" t="s">
        <v>460</v>
      </c>
      <c r="D28" s="219" t="s">
        <v>472</v>
      </c>
      <c r="E28" s="191" t="s">
        <v>11</v>
      </c>
      <c r="F28" s="192">
        <v>14.66</v>
      </c>
      <c r="G28" s="195">
        <f>((F28*Orçamento_Sintético!$I$7)+F28)</f>
        <v>18.50314427586207</v>
      </c>
    </row>
    <row r="29" spans="1:8" x14ac:dyDescent="0.25">
      <c r="A29" s="212">
        <v>22</v>
      </c>
      <c r="B29" s="191">
        <v>4915708</v>
      </c>
      <c r="C29" s="199" t="s">
        <v>14</v>
      </c>
      <c r="D29" s="219" t="s">
        <v>12</v>
      </c>
      <c r="E29" s="191" t="s">
        <v>11</v>
      </c>
      <c r="F29" s="210">
        <v>0.69</v>
      </c>
      <c r="G29" s="195">
        <f>((F29*Orçamento_Sintético!$I$7)+F29)</f>
        <v>0.87088468965517229</v>
      </c>
      <c r="H29" s="2" t="s">
        <v>39</v>
      </c>
    </row>
    <row r="30" spans="1:8" x14ac:dyDescent="0.25">
      <c r="A30" s="190">
        <v>23</v>
      </c>
      <c r="B30" s="191">
        <v>4915776</v>
      </c>
      <c r="C30" s="199" t="s">
        <v>14</v>
      </c>
      <c r="D30" s="219" t="s">
        <v>24</v>
      </c>
      <c r="E30" s="191" t="s">
        <v>43</v>
      </c>
      <c r="F30" s="192">
        <v>730.85</v>
      </c>
      <c r="G30" s="195">
        <f>((F30*Orçamento_Sintético!$I$7)+F30)</f>
        <v>922.44358758620683</v>
      </c>
    </row>
    <row r="31" spans="1:8" ht="30" x14ac:dyDescent="0.2">
      <c r="A31" s="190">
        <v>25</v>
      </c>
      <c r="B31" s="209">
        <v>4805751</v>
      </c>
      <c r="C31" s="199" t="s">
        <v>14</v>
      </c>
      <c r="D31" s="219" t="s">
        <v>40</v>
      </c>
      <c r="E31" s="191" t="s">
        <v>9</v>
      </c>
      <c r="F31" s="254">
        <v>52.44</v>
      </c>
      <c r="G31" s="195">
        <f>((F31*Orçamento_Sintético!$I$7)+F31)</f>
        <v>66.187236413793102</v>
      </c>
    </row>
    <row r="32" spans="1:8" ht="30" x14ac:dyDescent="0.25">
      <c r="A32" s="212">
        <v>26</v>
      </c>
      <c r="B32" s="191">
        <v>4805760</v>
      </c>
      <c r="C32" s="199" t="s">
        <v>14</v>
      </c>
      <c r="D32" s="219" t="s">
        <v>42</v>
      </c>
      <c r="E32" s="191" t="s">
        <v>9</v>
      </c>
      <c r="F32" s="254">
        <v>58.87</v>
      </c>
      <c r="G32" s="195">
        <f>((F32*Orçamento_Sintético!$I$7)+F32)</f>
        <v>74.302871999999994</v>
      </c>
    </row>
    <row r="33" spans="1:7" x14ac:dyDescent="0.25">
      <c r="A33" s="190">
        <v>27</v>
      </c>
      <c r="B33" s="199">
        <v>3107999</v>
      </c>
      <c r="C33" s="199" t="s">
        <v>67</v>
      </c>
      <c r="D33" s="354" t="s">
        <v>637</v>
      </c>
      <c r="E33" s="199" t="s">
        <v>7</v>
      </c>
      <c r="F33" s="254">
        <v>153.77000000000001</v>
      </c>
      <c r="G33" s="195">
        <f>((F33*Orçamento_Sintético!$I$7)+F33)</f>
        <v>194.08107062068967</v>
      </c>
    </row>
    <row r="34" spans="1:7" x14ac:dyDescent="0.2">
      <c r="A34" s="190"/>
      <c r="B34" s="50">
        <v>4915708</v>
      </c>
      <c r="C34" s="199" t="s">
        <v>14</v>
      </c>
      <c r="D34" s="176" t="s">
        <v>12</v>
      </c>
      <c r="E34" s="358" t="s">
        <v>11</v>
      </c>
      <c r="F34" s="254">
        <v>0.69</v>
      </c>
      <c r="G34" s="195">
        <f>((F34*Orçamento_Sintético!$I$7)+F34)</f>
        <v>0.87088468965517229</v>
      </c>
    </row>
    <row r="35" spans="1:7" ht="43.5" thickBot="1" x14ac:dyDescent="0.3">
      <c r="A35" s="435">
        <v>28</v>
      </c>
      <c r="B35" s="201">
        <v>97086</v>
      </c>
      <c r="C35" s="200" t="s">
        <v>10</v>
      </c>
      <c r="D35" s="436" t="s">
        <v>638</v>
      </c>
      <c r="E35" s="201" t="s">
        <v>7</v>
      </c>
      <c r="F35" s="255">
        <v>135.6</v>
      </c>
      <c r="G35" s="202">
        <f>((F35*Orçamento_Sintético!$I$7)+F35)</f>
        <v>171.14777379310343</v>
      </c>
    </row>
    <row r="36" spans="1:7" x14ac:dyDescent="0.25">
      <c r="D36" s="180" t="e">
        <f>SUM(#REF!)</f>
        <v>#REF!</v>
      </c>
    </row>
  </sheetData>
  <autoFilter ref="A7:G33" xr:uid="{43783DC2-DDD5-4F43-A75D-913B0886FD2F}"/>
  <mergeCells count="4">
    <mergeCell ref="B1:F1"/>
    <mergeCell ref="B2:F2"/>
    <mergeCell ref="B3:F3"/>
    <mergeCell ref="A5:F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5368" r:id="rId4">
          <objectPr defaultSize="0" autoPict="0" altText="" r:id="rId5">
            <anchor moveWithCells="1" sizeWithCells="1">
              <from>
                <xdr:col>0</xdr:col>
                <xdr:colOff>38100</xdr:colOff>
                <xdr:row>0</xdr:row>
                <xdr:rowOff>57150</xdr:rowOff>
              </from>
              <to>
                <xdr:col>1</xdr:col>
                <xdr:colOff>1409700</xdr:colOff>
                <xdr:row>2</xdr:row>
                <xdr:rowOff>152400</xdr:rowOff>
              </to>
            </anchor>
          </objectPr>
        </oleObject>
      </mc:Choice>
      <mc:Fallback>
        <oleObject progId="Figura do Microsoft Photo Editor 3.0" shapeId="15368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52C66-51DB-49EA-8999-E56483BE393D}">
  <sheetPr>
    <tabColor theme="4" tint="-0.249977111117893"/>
  </sheetPr>
  <dimension ref="A1:M79"/>
  <sheetViews>
    <sheetView workbookViewId="0">
      <selection activeCell="D13" sqref="D13"/>
    </sheetView>
  </sheetViews>
  <sheetFormatPr defaultRowHeight="15" x14ac:dyDescent="0.25"/>
  <cols>
    <col min="1" max="1" width="13.140625" customWidth="1"/>
    <col min="3" max="3" width="10.42578125" bestFit="1" customWidth="1"/>
    <col min="4" max="4" width="48.85546875" customWidth="1"/>
    <col min="6" max="6" width="29" bestFit="1" customWidth="1"/>
    <col min="7" max="7" width="12.28515625" customWidth="1"/>
    <col min="8" max="8" width="12.5703125" customWidth="1"/>
    <col min="9" max="9" width="11.42578125" bestFit="1" customWidth="1"/>
  </cols>
  <sheetData>
    <row r="1" spans="1:8" x14ac:dyDescent="0.25">
      <c r="A1" s="493"/>
      <c r="B1" s="493"/>
      <c r="C1" s="493"/>
      <c r="D1" s="493"/>
      <c r="E1" s="493"/>
      <c r="F1" s="493"/>
      <c r="G1" s="493"/>
      <c r="H1" s="493"/>
    </row>
    <row r="2" spans="1:8" x14ac:dyDescent="0.25">
      <c r="A2" s="493"/>
      <c r="B2" s="493"/>
      <c r="C2" s="493"/>
      <c r="D2" s="493"/>
      <c r="E2" s="493"/>
      <c r="F2" s="493"/>
      <c r="G2" s="493"/>
      <c r="H2" s="493"/>
    </row>
    <row r="3" spans="1:8" x14ac:dyDescent="0.25">
      <c r="A3" s="493"/>
      <c r="B3" s="493"/>
      <c r="C3" s="493"/>
      <c r="D3" s="493"/>
      <c r="E3" s="493"/>
      <c r="F3" s="493"/>
      <c r="G3" s="493"/>
      <c r="H3" s="493"/>
    </row>
    <row r="4" spans="1:8" x14ac:dyDescent="0.25">
      <c r="A4" s="494" t="str">
        <f>Orçamento_Sintético!A4</f>
        <v>Serviços de Manutenção e Restauração do Sistema de Drenagem do Perímetro Irrigado do Baixio de Irecê, no município de Xique-Xique, na área de abrangência 2ª Superintendência Regional da CODEVASF, no estado da Bahia.</v>
      </c>
      <c r="B4" s="495"/>
      <c r="C4" s="495"/>
      <c r="D4" s="495"/>
      <c r="E4" s="495"/>
      <c r="F4" s="495"/>
      <c r="G4" s="495"/>
      <c r="H4" s="496"/>
    </row>
    <row r="5" spans="1:8" x14ac:dyDescent="0.25">
      <c r="A5" s="497" t="s">
        <v>81</v>
      </c>
      <c r="B5" s="498"/>
      <c r="C5" s="498"/>
      <c r="D5" s="499"/>
      <c r="E5" s="8"/>
      <c r="F5" s="9" t="s">
        <v>82</v>
      </c>
      <c r="G5" s="506">
        <f>[4]BDI!D36</f>
        <v>0.26215172413793097</v>
      </c>
      <c r="H5" s="507"/>
    </row>
    <row r="6" spans="1:8" x14ac:dyDescent="0.25">
      <c r="A6" s="500"/>
      <c r="B6" s="501"/>
      <c r="C6" s="501"/>
      <c r="D6" s="502"/>
      <c r="E6" s="508" t="s">
        <v>83</v>
      </c>
      <c r="F6" s="509"/>
      <c r="G6" s="10" t="s">
        <v>84</v>
      </c>
      <c r="H6" s="11" t="s">
        <v>85</v>
      </c>
    </row>
    <row r="7" spans="1:8" x14ac:dyDescent="0.25">
      <c r="A7" s="503"/>
      <c r="B7" s="504"/>
      <c r="C7" s="504"/>
      <c r="D7" s="505"/>
      <c r="E7" s="510"/>
      <c r="F7" s="511"/>
      <c r="G7" s="12">
        <f>'[4]Encargos Sociais'!F52</f>
        <v>1.1446999999999998</v>
      </c>
      <c r="H7" s="12">
        <f>'[4]Encargos Sociais'!G52</f>
        <v>0.70909999999999995</v>
      </c>
    </row>
    <row r="8" spans="1:8" x14ac:dyDescent="0.25">
      <c r="D8" s="437" t="s">
        <v>668</v>
      </c>
    </row>
    <row r="9" spans="1:8" x14ac:dyDescent="0.25">
      <c r="A9" s="512" t="s">
        <v>3</v>
      </c>
      <c r="B9" s="512" t="s">
        <v>2</v>
      </c>
      <c r="C9" s="512" t="s">
        <v>60</v>
      </c>
      <c r="D9" s="514" t="s">
        <v>86</v>
      </c>
      <c r="E9" s="512" t="s">
        <v>87</v>
      </c>
      <c r="F9" s="516" t="s">
        <v>88</v>
      </c>
      <c r="G9" s="516" t="s">
        <v>89</v>
      </c>
      <c r="H9" s="516" t="s">
        <v>0</v>
      </c>
    </row>
    <row r="10" spans="1:8" x14ac:dyDescent="0.25">
      <c r="A10" s="513"/>
      <c r="B10" s="513"/>
      <c r="C10" s="513"/>
      <c r="D10" s="515"/>
      <c r="E10" s="513"/>
      <c r="F10" s="517"/>
      <c r="G10" s="517"/>
      <c r="H10" s="517"/>
    </row>
    <row r="11" spans="1:8" x14ac:dyDescent="0.25">
      <c r="A11" s="13" t="s">
        <v>90</v>
      </c>
      <c r="B11" s="14" t="s">
        <v>67</v>
      </c>
      <c r="C11" s="14" t="s">
        <v>91</v>
      </c>
      <c r="D11" s="15" t="s">
        <v>92</v>
      </c>
      <c r="E11" s="14" t="s">
        <v>93</v>
      </c>
      <c r="F11" s="16">
        <v>0.25</v>
      </c>
      <c r="G11" s="17">
        <v>22939.89</v>
      </c>
      <c r="H11" s="18">
        <f>ROUND(F11*G11,2)</f>
        <v>5734.97</v>
      </c>
    </row>
    <row r="12" spans="1:8" x14ac:dyDescent="0.25">
      <c r="A12" s="13" t="s">
        <v>90</v>
      </c>
      <c r="B12" s="14" t="s">
        <v>67</v>
      </c>
      <c r="C12" s="14" t="s">
        <v>94</v>
      </c>
      <c r="D12" s="19" t="s">
        <v>95</v>
      </c>
      <c r="E12" s="14" t="s">
        <v>93</v>
      </c>
      <c r="F12" s="20">
        <v>1</v>
      </c>
      <c r="G12" s="17">
        <v>5324.85</v>
      </c>
      <c r="H12" s="18">
        <f>ROUND(F12*G12,2)</f>
        <v>5324.85</v>
      </c>
    </row>
    <row r="13" spans="1:8" x14ac:dyDescent="0.25">
      <c r="A13" s="24"/>
      <c r="B13" s="25"/>
      <c r="C13" s="25"/>
      <c r="D13" s="25"/>
      <c r="E13" s="518" t="s">
        <v>100</v>
      </c>
      <c r="F13" s="518"/>
      <c r="G13" s="519"/>
      <c r="H13" s="26">
        <f>SUM(H11:H12)</f>
        <v>11059.82</v>
      </c>
    </row>
    <row r="14" spans="1:8" x14ac:dyDescent="0.25">
      <c r="A14" s="27"/>
      <c r="B14" s="28"/>
      <c r="C14" s="28"/>
      <c r="D14" s="28"/>
      <c r="E14" s="520" t="s">
        <v>648</v>
      </c>
      <c r="F14" s="520"/>
      <c r="G14" s="521"/>
      <c r="H14" s="29">
        <f>H13*3</f>
        <v>33179.46</v>
      </c>
    </row>
    <row r="15" spans="1:8" x14ac:dyDescent="0.25">
      <c r="A15" s="30"/>
      <c r="B15" s="31"/>
      <c r="C15" s="31"/>
      <c r="D15" s="31"/>
      <c r="E15" s="490">
        <f>G5</f>
        <v>0.26215172413793097</v>
      </c>
      <c r="F15" s="491"/>
      <c r="G15" s="492"/>
      <c r="H15" s="32">
        <f>ROUND(E15*H14,2)</f>
        <v>8698.0499999999993</v>
      </c>
    </row>
    <row r="16" spans="1:8" x14ac:dyDescent="0.25">
      <c r="A16" s="33"/>
      <c r="B16" s="34"/>
      <c r="C16" s="34"/>
      <c r="D16" s="34"/>
      <c r="E16" s="35" t="str">
        <f>A9</f>
        <v>CPU-01</v>
      </c>
      <c r="F16" s="522" t="s">
        <v>101</v>
      </c>
      <c r="G16" s="523"/>
      <c r="H16" s="36">
        <f>H14+H15</f>
        <v>41877.509999999995</v>
      </c>
    </row>
    <row r="19" spans="1:8" x14ac:dyDescent="0.25">
      <c r="A19" s="512" t="s">
        <v>102</v>
      </c>
      <c r="B19" s="512" t="s">
        <v>2</v>
      </c>
      <c r="C19" s="512" t="s">
        <v>103</v>
      </c>
      <c r="D19" s="514" t="s">
        <v>104</v>
      </c>
      <c r="E19" s="512" t="s">
        <v>105</v>
      </c>
      <c r="F19" s="516" t="s">
        <v>88</v>
      </c>
      <c r="G19" s="516" t="s">
        <v>89</v>
      </c>
      <c r="H19" s="516" t="s">
        <v>0</v>
      </c>
    </row>
    <row r="20" spans="1:8" x14ac:dyDescent="0.25">
      <c r="A20" s="513"/>
      <c r="B20" s="513"/>
      <c r="C20" s="513"/>
      <c r="D20" s="515"/>
      <c r="E20" s="513"/>
      <c r="F20" s="517"/>
      <c r="G20" s="517"/>
      <c r="H20" s="517"/>
    </row>
    <row r="21" spans="1:8" ht="76.5" x14ac:dyDescent="0.25">
      <c r="A21" s="14" t="s">
        <v>106</v>
      </c>
      <c r="B21" s="14" t="s">
        <v>10</v>
      </c>
      <c r="C21" s="21">
        <v>73340</v>
      </c>
      <c r="D21" s="22" t="s">
        <v>107</v>
      </c>
      <c r="E21" s="37" t="s">
        <v>99</v>
      </c>
      <c r="F21" s="16">
        <v>9</v>
      </c>
      <c r="G21" s="17">
        <v>142.54</v>
      </c>
      <c r="H21" s="18">
        <f>ROUND(F21*G21,4)</f>
        <v>1282.8599999999999</v>
      </c>
    </row>
    <row r="22" spans="1:8" ht="63.75" x14ac:dyDescent="0.25">
      <c r="A22" s="14" t="s">
        <v>106</v>
      </c>
      <c r="B22" s="14" t="s">
        <v>10</v>
      </c>
      <c r="C22" s="21">
        <v>91386</v>
      </c>
      <c r="D22" s="22" t="s">
        <v>108</v>
      </c>
      <c r="E22" s="13" t="s">
        <v>109</v>
      </c>
      <c r="F22" s="23">
        <v>9</v>
      </c>
      <c r="G22" s="17">
        <v>256.57</v>
      </c>
      <c r="H22" s="18">
        <f t="shared" ref="H22" si="0">ROUND(F22*G22,4)</f>
        <v>2309.13</v>
      </c>
    </row>
    <row r="23" spans="1:8" x14ac:dyDescent="0.25">
      <c r="A23" s="13" t="s">
        <v>90</v>
      </c>
      <c r="B23" s="14" t="s">
        <v>67</v>
      </c>
      <c r="C23" s="21" t="s">
        <v>97</v>
      </c>
      <c r="D23" s="22" t="s">
        <v>98</v>
      </c>
      <c r="E23" s="13" t="s">
        <v>99</v>
      </c>
      <c r="F23" s="23">
        <v>9</v>
      </c>
      <c r="G23" s="17">
        <v>33.71</v>
      </c>
      <c r="H23" s="18">
        <f>ROUND(F23*G23,2)</f>
        <v>303.39</v>
      </c>
    </row>
    <row r="24" spans="1:8" x14ac:dyDescent="0.25">
      <c r="A24" s="24"/>
      <c r="B24" s="25"/>
      <c r="C24" s="25"/>
      <c r="D24" s="25"/>
      <c r="E24" s="518" t="s">
        <v>110</v>
      </c>
      <c r="F24" s="518"/>
      <c r="G24" s="519"/>
      <c r="H24" s="26">
        <f>SUM(H21:H23)</f>
        <v>3895.3799999999997</v>
      </c>
    </row>
    <row r="25" spans="1:8" x14ac:dyDescent="0.25">
      <c r="A25" s="27"/>
      <c r="B25" s="28"/>
      <c r="C25" s="28"/>
      <c r="D25" s="28"/>
      <c r="E25" s="38"/>
      <c r="F25" s="39" t="s">
        <v>111</v>
      </c>
      <c r="G25" s="40">
        <f>$G$5</f>
        <v>0.26215172413793097</v>
      </c>
      <c r="H25" s="41">
        <f>ROUND(H24*G25,4)</f>
        <v>1021.1806</v>
      </c>
    </row>
    <row r="26" spans="1:8" x14ac:dyDescent="0.25">
      <c r="A26" s="33"/>
      <c r="B26" s="34"/>
      <c r="C26" s="34"/>
      <c r="D26" s="34"/>
      <c r="E26" s="35" t="str">
        <f>A19</f>
        <v>CPU-02</v>
      </c>
      <c r="F26" s="526" t="s">
        <v>112</v>
      </c>
      <c r="G26" s="527"/>
      <c r="H26" s="36">
        <f>H24+H25</f>
        <v>4916.5605999999998</v>
      </c>
    </row>
    <row r="29" spans="1:8" x14ac:dyDescent="0.25">
      <c r="A29" s="512" t="s">
        <v>6</v>
      </c>
      <c r="B29" s="512" t="s">
        <v>2</v>
      </c>
      <c r="C29" s="512" t="s">
        <v>60</v>
      </c>
      <c r="D29" s="514" t="s">
        <v>113</v>
      </c>
      <c r="E29" s="512" t="s">
        <v>114</v>
      </c>
      <c r="F29" s="516" t="s">
        <v>88</v>
      </c>
      <c r="G29" s="516" t="s">
        <v>89</v>
      </c>
      <c r="H29" s="516" t="s">
        <v>0</v>
      </c>
    </row>
    <row r="30" spans="1:8" x14ac:dyDescent="0.25">
      <c r="A30" s="513"/>
      <c r="B30" s="513"/>
      <c r="C30" s="513"/>
      <c r="D30" s="515"/>
      <c r="E30" s="513"/>
      <c r="F30" s="517"/>
      <c r="G30" s="517"/>
      <c r="H30" s="517"/>
    </row>
    <row r="31" spans="1:8" x14ac:dyDescent="0.25">
      <c r="A31" s="13" t="s">
        <v>90</v>
      </c>
      <c r="B31" s="37" t="s">
        <v>10</v>
      </c>
      <c r="C31" s="42">
        <v>5075</v>
      </c>
      <c r="D31" s="15" t="s">
        <v>115</v>
      </c>
      <c r="E31" s="37" t="s">
        <v>116</v>
      </c>
      <c r="F31" s="16">
        <v>0.11</v>
      </c>
      <c r="G31" s="17">
        <v>20.29</v>
      </c>
      <c r="H31" s="18">
        <f t="shared" ref="H31:H40" si="1">ROUND(F31*G31,2)</f>
        <v>2.23</v>
      </c>
    </row>
    <row r="32" spans="1:8" ht="25.5" x14ac:dyDescent="0.25">
      <c r="A32" s="13" t="s">
        <v>90</v>
      </c>
      <c r="B32" s="14" t="s">
        <v>10</v>
      </c>
      <c r="C32" s="14">
        <v>4491</v>
      </c>
      <c r="D32" s="19" t="s">
        <v>117</v>
      </c>
      <c r="E32" s="14" t="s">
        <v>11</v>
      </c>
      <c r="F32" s="20">
        <v>4</v>
      </c>
      <c r="G32" s="17">
        <v>9.65</v>
      </c>
      <c r="H32" s="18">
        <f t="shared" si="1"/>
        <v>38.6</v>
      </c>
    </row>
    <row r="33" spans="1:13" ht="25.5" x14ac:dyDescent="0.25">
      <c r="A33" s="13" t="s">
        <v>90</v>
      </c>
      <c r="B33" s="14" t="s">
        <v>10</v>
      </c>
      <c r="C33" s="14">
        <v>4417</v>
      </c>
      <c r="D33" s="19" t="s">
        <v>118</v>
      </c>
      <c r="E33" s="14" t="s">
        <v>11</v>
      </c>
      <c r="F33" s="20">
        <v>1</v>
      </c>
      <c r="G33" s="17">
        <v>7.18</v>
      </c>
      <c r="H33" s="18">
        <f t="shared" si="1"/>
        <v>7.18</v>
      </c>
    </row>
    <row r="34" spans="1:13" ht="25.5" x14ac:dyDescent="0.25">
      <c r="A34" s="13" t="s">
        <v>90</v>
      </c>
      <c r="B34" s="14" t="s">
        <v>10</v>
      </c>
      <c r="C34" s="14">
        <v>4813</v>
      </c>
      <c r="D34" s="19" t="s">
        <v>119</v>
      </c>
      <c r="E34" s="14" t="s">
        <v>7</v>
      </c>
      <c r="F34" s="20">
        <v>1</v>
      </c>
      <c r="G34" s="17">
        <v>325</v>
      </c>
      <c r="H34" s="18">
        <f t="shared" si="1"/>
        <v>325</v>
      </c>
    </row>
    <row r="35" spans="1:13" x14ac:dyDescent="0.25">
      <c r="A35" s="13" t="s">
        <v>90</v>
      </c>
      <c r="B35" s="14" t="s">
        <v>10</v>
      </c>
      <c r="C35" s="14">
        <v>370</v>
      </c>
      <c r="D35" s="19" t="s">
        <v>120</v>
      </c>
      <c r="E35" s="14" t="s">
        <v>9</v>
      </c>
      <c r="F35" s="20">
        <v>4.8999999999999998E-3</v>
      </c>
      <c r="G35" s="17">
        <v>110</v>
      </c>
      <c r="H35" s="18">
        <f t="shared" si="1"/>
        <v>0.54</v>
      </c>
    </row>
    <row r="36" spans="1:13" x14ac:dyDescent="0.25">
      <c r="A36" s="13" t="s">
        <v>90</v>
      </c>
      <c r="B36" s="14" t="s">
        <v>10</v>
      </c>
      <c r="C36" s="14">
        <v>1379</v>
      </c>
      <c r="D36" s="19" t="s">
        <v>121</v>
      </c>
      <c r="E36" s="14" t="s">
        <v>116</v>
      </c>
      <c r="F36" s="20">
        <v>1.5</v>
      </c>
      <c r="G36" s="17">
        <v>0.82</v>
      </c>
      <c r="H36" s="18">
        <f t="shared" si="1"/>
        <v>1.23</v>
      </c>
    </row>
    <row r="37" spans="1:13" x14ac:dyDescent="0.25">
      <c r="A37" s="13" t="s">
        <v>90</v>
      </c>
      <c r="B37" s="14" t="s">
        <v>10</v>
      </c>
      <c r="C37" s="14">
        <v>4718</v>
      </c>
      <c r="D37" s="19" t="s">
        <v>122</v>
      </c>
      <c r="E37" s="14" t="s">
        <v>9</v>
      </c>
      <c r="F37" s="20">
        <v>9.7999999999999997E-3</v>
      </c>
      <c r="G37" s="17">
        <v>105.81</v>
      </c>
      <c r="H37" s="18">
        <f t="shared" si="1"/>
        <v>1.04</v>
      </c>
    </row>
    <row r="38" spans="1:13" ht="25.5" x14ac:dyDescent="0.25">
      <c r="A38" s="13" t="s">
        <v>106</v>
      </c>
      <c r="B38" s="14" t="s">
        <v>10</v>
      </c>
      <c r="C38" s="14">
        <v>87445</v>
      </c>
      <c r="D38" s="19" t="s">
        <v>123</v>
      </c>
      <c r="E38" s="14" t="s">
        <v>124</v>
      </c>
      <c r="F38" s="20">
        <v>6.4999999999999997E-3</v>
      </c>
      <c r="G38" s="17">
        <v>4.9800000000000004</v>
      </c>
      <c r="H38" s="18">
        <f t="shared" si="1"/>
        <v>0.03</v>
      </c>
    </row>
    <row r="39" spans="1:13" x14ac:dyDescent="0.25">
      <c r="A39" s="13" t="s">
        <v>90</v>
      </c>
      <c r="B39" s="14" t="s">
        <v>67</v>
      </c>
      <c r="C39" s="43" t="s">
        <v>125</v>
      </c>
      <c r="D39" s="44" t="s">
        <v>126</v>
      </c>
      <c r="E39" s="14" t="s">
        <v>124</v>
      </c>
      <c r="F39" s="20">
        <v>1</v>
      </c>
      <c r="G39" s="17">
        <v>29.12</v>
      </c>
      <c r="H39" s="18">
        <f t="shared" si="1"/>
        <v>29.12</v>
      </c>
      <c r="M39">
        <v>20.68</v>
      </c>
    </row>
    <row r="40" spans="1:13" x14ac:dyDescent="0.25">
      <c r="A40" s="13" t="s">
        <v>90</v>
      </c>
      <c r="B40" s="13" t="s">
        <v>67</v>
      </c>
      <c r="C40" s="45" t="s">
        <v>127</v>
      </c>
      <c r="D40" s="19" t="s">
        <v>128</v>
      </c>
      <c r="E40" s="13" t="s">
        <v>124</v>
      </c>
      <c r="F40" s="23">
        <v>2.06</v>
      </c>
      <c r="G40" s="46">
        <v>20.68</v>
      </c>
      <c r="H40" s="47">
        <f t="shared" si="1"/>
        <v>42.6</v>
      </c>
    </row>
    <row r="41" spans="1:13" x14ac:dyDescent="0.25">
      <c r="A41" s="24"/>
      <c r="B41" s="25"/>
      <c r="C41" s="25"/>
      <c r="D41" s="25"/>
      <c r="E41" s="518" t="s">
        <v>110</v>
      </c>
      <c r="F41" s="518"/>
      <c r="G41" s="519"/>
      <c r="H41" s="26">
        <f>SUM(H31:H40)</f>
        <v>447.57000000000005</v>
      </c>
    </row>
    <row r="42" spans="1:13" x14ac:dyDescent="0.25">
      <c r="A42" s="27"/>
      <c r="B42" s="28"/>
      <c r="C42" s="28"/>
      <c r="D42" s="28"/>
      <c r="E42" s="38"/>
      <c r="F42" s="39" t="s">
        <v>111</v>
      </c>
      <c r="G42" s="40">
        <f>G5</f>
        <v>0.26215172413793097</v>
      </c>
      <c r="H42" s="41">
        <f>ROUND(H41*G42,2)</f>
        <v>117.33</v>
      </c>
    </row>
    <row r="43" spans="1:13" x14ac:dyDescent="0.25">
      <c r="A43" s="33"/>
      <c r="B43" s="34"/>
      <c r="C43" s="34"/>
      <c r="D43" s="34"/>
      <c r="E43" s="35" t="str">
        <f>A29</f>
        <v>CPU-03</v>
      </c>
      <c r="F43" s="526" t="s">
        <v>112</v>
      </c>
      <c r="G43" s="527"/>
      <c r="H43" s="36">
        <f>H41+H42</f>
        <v>564.90000000000009</v>
      </c>
    </row>
    <row r="47" spans="1:13" x14ac:dyDescent="0.25">
      <c r="A47" s="300"/>
      <c r="B47" s="300" t="s">
        <v>604</v>
      </c>
      <c r="C47" s="300" t="s">
        <v>130</v>
      </c>
      <c r="D47" s="300" t="s">
        <v>605</v>
      </c>
      <c r="E47" s="300" t="s">
        <v>129</v>
      </c>
      <c r="F47" s="300" t="s">
        <v>131</v>
      </c>
      <c r="G47" s="300" t="s">
        <v>132</v>
      </c>
      <c r="H47" s="300" t="s">
        <v>133</v>
      </c>
    </row>
    <row r="48" spans="1:13" x14ac:dyDescent="0.25">
      <c r="A48" s="300"/>
      <c r="B48" s="300" t="s">
        <v>623</v>
      </c>
      <c r="C48" s="300"/>
      <c r="D48" s="300"/>
      <c r="E48" s="300" t="s">
        <v>129</v>
      </c>
      <c r="F48" s="300">
        <v>1</v>
      </c>
      <c r="G48" s="300"/>
      <c r="H48" s="300"/>
    </row>
    <row r="49" spans="1:8" ht="30" x14ac:dyDescent="0.25">
      <c r="A49" s="316" t="s">
        <v>606</v>
      </c>
      <c r="B49" s="316" t="s">
        <v>10</v>
      </c>
      <c r="C49" s="316">
        <v>90778</v>
      </c>
      <c r="D49" s="327" t="s">
        <v>134</v>
      </c>
      <c r="E49" s="316" t="s">
        <v>99</v>
      </c>
      <c r="F49" s="317">
        <v>0.5</v>
      </c>
      <c r="G49" s="318">
        <v>128.72999999999999</v>
      </c>
      <c r="H49" s="318">
        <f>G49*F49</f>
        <v>64.364999999999995</v>
      </c>
    </row>
    <row r="50" spans="1:8" ht="30" x14ac:dyDescent="0.25">
      <c r="A50" s="319" t="s">
        <v>606</v>
      </c>
      <c r="B50" s="319" t="s">
        <v>10</v>
      </c>
      <c r="C50" s="319">
        <v>88243</v>
      </c>
      <c r="D50" s="326" t="s">
        <v>135</v>
      </c>
      <c r="E50" s="319" t="s">
        <v>99</v>
      </c>
      <c r="F50" s="320">
        <v>1.6</v>
      </c>
      <c r="G50" s="321">
        <v>22.04</v>
      </c>
      <c r="H50" s="321">
        <f>G50*F50</f>
        <v>35.264000000000003</v>
      </c>
    </row>
    <row r="51" spans="1:8" x14ac:dyDescent="0.25">
      <c r="A51" s="319"/>
      <c r="B51" s="319"/>
      <c r="C51" s="319"/>
      <c r="D51" s="326"/>
      <c r="E51" s="319"/>
      <c r="F51" s="319" t="s">
        <v>607</v>
      </c>
      <c r="G51" s="319"/>
      <c r="H51" s="321">
        <f>SUM(H49:H50)</f>
        <v>99.628999999999991</v>
      </c>
    </row>
    <row r="52" spans="1:8" x14ac:dyDescent="0.25">
      <c r="A52" s="319"/>
      <c r="B52" s="319"/>
      <c r="C52" s="319"/>
      <c r="D52" s="326"/>
      <c r="E52" s="319"/>
      <c r="F52" s="322" t="s">
        <v>608</v>
      </c>
      <c r="G52" s="322"/>
      <c r="H52" s="321">
        <f>H51*$G$5</f>
        <v>26.117914124137922</v>
      </c>
    </row>
    <row r="53" spans="1:8" x14ac:dyDescent="0.25">
      <c r="A53" s="319"/>
      <c r="B53" s="319"/>
      <c r="C53" s="319"/>
      <c r="D53" s="326"/>
      <c r="E53" s="319"/>
      <c r="F53" s="319" t="s">
        <v>609</v>
      </c>
      <c r="G53" s="319"/>
      <c r="H53" s="321">
        <f>SUM(H51:H52)</f>
        <v>125.74691412413792</v>
      </c>
    </row>
    <row r="54" spans="1:8" ht="45" x14ac:dyDescent="0.25">
      <c r="A54" s="319" t="s">
        <v>263</v>
      </c>
      <c r="B54" s="319" t="s">
        <v>10</v>
      </c>
      <c r="C54" s="319">
        <v>5944</v>
      </c>
      <c r="D54" s="326" t="s">
        <v>136</v>
      </c>
      <c r="E54" s="319" t="s">
        <v>109</v>
      </c>
      <c r="F54" s="320">
        <v>1.6</v>
      </c>
      <c r="G54" s="321">
        <v>253.08</v>
      </c>
      <c r="H54" s="321">
        <f>F54*G54</f>
        <v>404.92800000000005</v>
      </c>
    </row>
    <row r="55" spans="1:8" x14ac:dyDescent="0.25">
      <c r="A55" s="319"/>
      <c r="B55" s="319"/>
      <c r="C55" s="319"/>
      <c r="D55" s="319"/>
      <c r="E55" s="319"/>
      <c r="F55" s="319" t="s">
        <v>610</v>
      </c>
      <c r="G55" s="319"/>
      <c r="H55" s="321">
        <f>SUM(H54)</f>
        <v>404.92800000000005</v>
      </c>
    </row>
    <row r="56" spans="1:8" x14ac:dyDescent="0.25">
      <c r="A56" s="319"/>
      <c r="B56" s="319"/>
      <c r="C56" s="319"/>
      <c r="D56" s="319"/>
      <c r="E56" s="319"/>
      <c r="F56" s="322" t="s">
        <v>611</v>
      </c>
      <c r="G56" s="322"/>
      <c r="H56" s="321">
        <f>H55*$G$5</f>
        <v>106.15257335172413</v>
      </c>
    </row>
    <row r="57" spans="1:8" x14ac:dyDescent="0.25">
      <c r="A57" s="323"/>
      <c r="B57" s="323"/>
      <c r="C57" s="323"/>
      <c r="D57" s="323"/>
      <c r="E57" s="323"/>
      <c r="F57" s="324" t="s">
        <v>612</v>
      </c>
      <c r="G57" s="324"/>
      <c r="H57" s="325">
        <f>SUM(H56,H55)</f>
        <v>511.08057335172418</v>
      </c>
    </row>
    <row r="58" spans="1:8" x14ac:dyDescent="0.25">
      <c r="A58" s="307"/>
      <c r="F58" s="308"/>
      <c r="G58" s="309"/>
      <c r="H58" s="310">
        <v>0</v>
      </c>
    </row>
    <row r="59" spans="1:8" x14ac:dyDescent="0.25">
      <c r="A59" s="307"/>
      <c r="F59" s="311" t="s">
        <v>613</v>
      </c>
      <c r="G59" s="311"/>
      <c r="H59" s="310">
        <v>0</v>
      </c>
    </row>
    <row r="60" spans="1:8" x14ac:dyDescent="0.25">
      <c r="A60" s="307"/>
      <c r="F60" s="311" t="s">
        <v>614</v>
      </c>
      <c r="G60" s="311"/>
      <c r="H60" s="310">
        <v>0</v>
      </c>
    </row>
    <row r="61" spans="1:8" x14ac:dyDescent="0.25">
      <c r="A61" s="312"/>
      <c r="B61" s="313"/>
      <c r="C61" s="313"/>
      <c r="D61" s="313"/>
      <c r="E61" s="313"/>
      <c r="F61" s="314" t="s">
        <v>615</v>
      </c>
      <c r="G61" s="314"/>
      <c r="H61" s="315">
        <v>0</v>
      </c>
    </row>
    <row r="62" spans="1:8" x14ac:dyDescent="0.25">
      <c r="A62" s="301"/>
      <c r="B62" s="301"/>
      <c r="C62" s="301"/>
      <c r="D62" s="301"/>
      <c r="E62" s="301"/>
      <c r="F62" s="302" t="s">
        <v>616</v>
      </c>
      <c r="G62" s="302"/>
      <c r="H62" s="303">
        <f>SUM(H57,H53)</f>
        <v>636.82748747586209</v>
      </c>
    </row>
    <row r="65" spans="1:8" x14ac:dyDescent="0.25">
      <c r="A65" s="301"/>
      <c r="B65" s="301" t="s">
        <v>604</v>
      </c>
      <c r="C65" s="301" t="s">
        <v>130</v>
      </c>
      <c r="D65" s="524" t="s">
        <v>137</v>
      </c>
      <c r="E65" s="301" t="s">
        <v>129</v>
      </c>
      <c r="F65" s="301" t="s">
        <v>131</v>
      </c>
      <c r="G65" s="301" t="s">
        <v>132</v>
      </c>
      <c r="H65" s="301" t="s">
        <v>133</v>
      </c>
    </row>
    <row r="66" spans="1:8" x14ac:dyDescent="0.25">
      <c r="A66" s="301"/>
      <c r="B66" s="301" t="s">
        <v>624</v>
      </c>
      <c r="C66" s="301"/>
      <c r="D66" s="525"/>
      <c r="E66" s="301" t="s">
        <v>617</v>
      </c>
      <c r="F66" s="301">
        <v>1</v>
      </c>
      <c r="G66" s="301"/>
      <c r="H66" s="301"/>
    </row>
    <row r="67" spans="1:8" ht="30" x14ac:dyDescent="0.25">
      <c r="A67" s="316" t="s">
        <v>606</v>
      </c>
      <c r="B67" s="316" t="s">
        <v>10</v>
      </c>
      <c r="C67" s="316">
        <v>90778</v>
      </c>
      <c r="D67" s="327" t="s">
        <v>134</v>
      </c>
      <c r="E67" s="327" t="s">
        <v>99</v>
      </c>
      <c r="F67" s="317">
        <v>0.5</v>
      </c>
      <c r="G67" s="318">
        <v>128.72999999999999</v>
      </c>
      <c r="H67" s="318">
        <f>G67*F67</f>
        <v>64.364999999999995</v>
      </c>
    </row>
    <row r="68" spans="1:8" x14ac:dyDescent="0.25">
      <c r="A68" s="319"/>
      <c r="B68" s="319"/>
      <c r="C68" s="319"/>
      <c r="D68" s="326"/>
      <c r="E68" s="326"/>
      <c r="F68" s="319" t="s">
        <v>607</v>
      </c>
      <c r="G68" s="319"/>
      <c r="H68" s="321">
        <f>SUM(H67)</f>
        <v>64.364999999999995</v>
      </c>
    </row>
    <row r="69" spans="1:8" x14ac:dyDescent="0.25">
      <c r="A69" s="319"/>
      <c r="B69" s="319"/>
      <c r="C69" s="319"/>
      <c r="D69" s="326"/>
      <c r="E69" s="326"/>
      <c r="F69" s="322" t="s">
        <v>608</v>
      </c>
      <c r="G69" s="322"/>
      <c r="H69" s="321">
        <f>H68*$G$5</f>
        <v>16.873395724137925</v>
      </c>
    </row>
    <row r="70" spans="1:8" x14ac:dyDescent="0.25">
      <c r="A70" s="319"/>
      <c r="B70" s="319"/>
      <c r="C70" s="319"/>
      <c r="D70" s="326"/>
      <c r="E70" s="326"/>
      <c r="F70" s="319" t="s">
        <v>609</v>
      </c>
      <c r="G70" s="319"/>
      <c r="H70" s="321">
        <f>SUM(H68:H69)</f>
        <v>81.238395724137916</v>
      </c>
    </row>
    <row r="71" spans="1:8" ht="30" x14ac:dyDescent="0.25">
      <c r="A71" s="319" t="s">
        <v>263</v>
      </c>
      <c r="B71" s="319" t="s">
        <v>618</v>
      </c>
      <c r="C71" s="319">
        <v>100575</v>
      </c>
      <c r="D71" s="326" t="s">
        <v>13</v>
      </c>
      <c r="E71" s="326" t="s">
        <v>494</v>
      </c>
      <c r="F71" s="320">
        <v>5000</v>
      </c>
      <c r="G71" s="321">
        <v>0.15</v>
      </c>
      <c r="H71" s="321">
        <f>G71*F71</f>
        <v>750</v>
      </c>
    </row>
    <row r="72" spans="1:8" x14ac:dyDescent="0.25">
      <c r="A72" s="319"/>
      <c r="B72" s="319"/>
      <c r="C72" s="319"/>
      <c r="D72" s="319"/>
      <c r="E72" s="319"/>
      <c r="F72" s="319" t="s">
        <v>610</v>
      </c>
      <c r="G72" s="319"/>
      <c r="H72" s="321">
        <f>SUM(H71)</f>
        <v>750</v>
      </c>
    </row>
    <row r="73" spans="1:8" x14ac:dyDescent="0.25">
      <c r="A73" s="319"/>
      <c r="B73" s="319"/>
      <c r="C73" s="319"/>
      <c r="D73" s="319"/>
      <c r="E73" s="319"/>
      <c r="F73" s="322" t="s">
        <v>611</v>
      </c>
      <c r="G73" s="322"/>
      <c r="H73" s="321">
        <f>H72*$G$5</f>
        <v>196.61379310344824</v>
      </c>
    </row>
    <row r="74" spans="1:8" x14ac:dyDescent="0.25">
      <c r="A74" s="323"/>
      <c r="B74" s="323"/>
      <c r="C74" s="323"/>
      <c r="D74" s="323"/>
      <c r="E74" s="323"/>
      <c r="F74" s="324" t="s">
        <v>612</v>
      </c>
      <c r="G74" s="324"/>
      <c r="H74" s="325">
        <f>SUM(H72:H73)</f>
        <v>946.61379310344819</v>
      </c>
    </row>
    <row r="75" spans="1:8" x14ac:dyDescent="0.25">
      <c r="A75" s="304"/>
      <c r="B75" s="305"/>
      <c r="C75" s="305"/>
      <c r="D75" s="305"/>
      <c r="E75" s="305"/>
      <c r="F75" s="306"/>
      <c r="G75" s="318"/>
      <c r="H75" s="318">
        <v>0</v>
      </c>
    </row>
    <row r="76" spans="1:8" x14ac:dyDescent="0.25">
      <c r="F76" s="311" t="s">
        <v>613</v>
      </c>
      <c r="G76" s="322"/>
      <c r="H76" s="321">
        <v>0</v>
      </c>
    </row>
    <row r="77" spans="1:8" x14ac:dyDescent="0.25">
      <c r="A77" s="307"/>
      <c r="F77" s="311" t="s">
        <v>614</v>
      </c>
      <c r="G77" s="322"/>
      <c r="H77" s="321">
        <v>0</v>
      </c>
    </row>
    <row r="78" spans="1:8" x14ac:dyDescent="0.25">
      <c r="A78" s="312"/>
      <c r="B78" s="313"/>
      <c r="C78" s="313"/>
      <c r="D78" s="313"/>
      <c r="E78" s="313"/>
      <c r="F78" s="314" t="s">
        <v>615</v>
      </c>
      <c r="G78" s="324"/>
      <c r="H78" s="325">
        <v>0</v>
      </c>
    </row>
    <row r="79" spans="1:8" x14ac:dyDescent="0.25">
      <c r="A79" s="301"/>
      <c r="B79" s="301"/>
      <c r="C79" s="301"/>
      <c r="D79" s="301"/>
      <c r="E79" s="301"/>
      <c r="F79" s="302" t="s">
        <v>616</v>
      </c>
      <c r="G79" s="302"/>
      <c r="H79" s="303">
        <f>SUM(H74+H70)</f>
        <v>1027.8521888275861</v>
      </c>
    </row>
  </sheetData>
  <mergeCells count="38">
    <mergeCell ref="D65:D66"/>
    <mergeCell ref="H29:H30"/>
    <mergeCell ref="E41:G41"/>
    <mergeCell ref="F43:G43"/>
    <mergeCell ref="H19:H20"/>
    <mergeCell ref="E24:G24"/>
    <mergeCell ref="F26:G26"/>
    <mergeCell ref="F29:F30"/>
    <mergeCell ref="G29:G30"/>
    <mergeCell ref="A29:A30"/>
    <mergeCell ref="B29:B30"/>
    <mergeCell ref="C29:C30"/>
    <mergeCell ref="D29:D30"/>
    <mergeCell ref="E29:E30"/>
    <mergeCell ref="F16:G16"/>
    <mergeCell ref="A19:A20"/>
    <mergeCell ref="B19:B20"/>
    <mergeCell ref="C19:C20"/>
    <mergeCell ref="D19:D20"/>
    <mergeCell ref="E19:E20"/>
    <mergeCell ref="F19:F20"/>
    <mergeCell ref="G19:G20"/>
    <mergeCell ref="E15:G15"/>
    <mergeCell ref="A1:H3"/>
    <mergeCell ref="A4:H4"/>
    <mergeCell ref="A5:D7"/>
    <mergeCell ref="G5:H5"/>
    <mergeCell ref="E6:F7"/>
    <mergeCell ref="A9:A10"/>
    <mergeCell ref="B9:B10"/>
    <mergeCell ref="C9:C10"/>
    <mergeCell ref="D9:D10"/>
    <mergeCell ref="E9:E10"/>
    <mergeCell ref="F9:F10"/>
    <mergeCell ref="G9:G10"/>
    <mergeCell ref="H9:H10"/>
    <mergeCell ref="E13:G13"/>
    <mergeCell ref="E14:G14"/>
  </mergeCells>
  <conditionalFormatting sqref="C21">
    <cfRule type="duplicateValues" dxfId="2" priority="1" stopIfTrue="1"/>
  </conditionalFormatting>
  <conditionalFormatting sqref="C22">
    <cfRule type="duplicateValues" dxfId="1" priority="2" stopIfTrue="1"/>
  </conditionalFormatting>
  <conditionalFormatting sqref="C23">
    <cfRule type="duplicateValues" dxfId="0" priority="5" stopIfTrue="1"/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07984-3E52-4B3C-BC47-9D5EE3AF43F4}">
  <dimension ref="A1:K205"/>
  <sheetViews>
    <sheetView zoomScale="80" zoomScaleNormal="80" workbookViewId="0">
      <selection activeCell="A2" sqref="A2:G2"/>
    </sheetView>
  </sheetViews>
  <sheetFormatPr defaultRowHeight="15" x14ac:dyDescent="0.25"/>
  <cols>
    <col min="2" max="2" width="96.7109375" customWidth="1"/>
    <col min="4" max="4" width="9.5703125" bestFit="1" customWidth="1"/>
    <col min="7" max="7" width="11.85546875" customWidth="1"/>
    <col min="8" max="8" width="129.140625" bestFit="1" customWidth="1"/>
    <col min="9" max="9" width="13.5703125" customWidth="1"/>
  </cols>
  <sheetData>
    <row r="1" spans="1:9" x14ac:dyDescent="0.25">
      <c r="A1" s="528" t="s">
        <v>664</v>
      </c>
      <c r="B1" s="529"/>
      <c r="C1" s="529"/>
      <c r="D1" s="529"/>
      <c r="E1" s="529"/>
      <c r="F1" s="529"/>
      <c r="G1" s="530"/>
    </row>
    <row r="2" spans="1:9" x14ac:dyDescent="0.25">
      <c r="A2" s="531" t="s">
        <v>48</v>
      </c>
      <c r="B2" s="532"/>
      <c r="C2" s="532"/>
      <c r="D2" s="532"/>
      <c r="E2" s="532"/>
      <c r="F2" s="532"/>
      <c r="G2" s="533"/>
    </row>
    <row r="3" spans="1:9" ht="15.75" thickBot="1" x14ac:dyDescent="0.3">
      <c r="A3" s="531" t="s">
        <v>49</v>
      </c>
      <c r="B3" s="532"/>
      <c r="C3" s="532"/>
      <c r="D3" s="532"/>
      <c r="E3" s="532"/>
      <c r="F3" s="532"/>
      <c r="G3" s="533"/>
    </row>
    <row r="4" spans="1:9" ht="28.5" customHeight="1" thickBot="1" x14ac:dyDescent="0.3">
      <c r="A4" s="534" t="s">
        <v>73</v>
      </c>
      <c r="B4" s="535"/>
      <c r="C4" s="535"/>
      <c r="D4" s="535"/>
      <c r="E4" s="535"/>
      <c r="F4" s="535"/>
      <c r="G4" s="536"/>
    </row>
    <row r="5" spans="1:9" ht="15.75" thickBot="1" x14ac:dyDescent="0.3">
      <c r="B5" s="437" t="s">
        <v>669</v>
      </c>
    </row>
    <row r="6" spans="1:9" x14ac:dyDescent="0.25">
      <c r="A6" s="537" t="s">
        <v>225</v>
      </c>
      <c r="B6" s="539" t="s">
        <v>263</v>
      </c>
      <c r="C6" s="539" t="s">
        <v>264</v>
      </c>
      <c r="D6" s="541" t="s">
        <v>265</v>
      </c>
      <c r="E6" s="542"/>
      <c r="F6" s="543"/>
      <c r="G6" s="544" t="s">
        <v>21</v>
      </c>
    </row>
    <row r="7" spans="1:9" ht="15" customHeight="1" thickBot="1" x14ac:dyDescent="0.3">
      <c r="A7" s="538"/>
      <c r="B7" s="540"/>
      <c r="C7" s="540"/>
      <c r="D7" s="153" t="s">
        <v>211</v>
      </c>
      <c r="E7" s="153" t="s">
        <v>266</v>
      </c>
      <c r="F7" s="153" t="s">
        <v>267</v>
      </c>
      <c r="G7" s="545"/>
    </row>
    <row r="8" spans="1:9" x14ac:dyDescent="0.25">
      <c r="A8" s="154">
        <v>1</v>
      </c>
      <c r="B8" s="155" t="s">
        <v>268</v>
      </c>
      <c r="C8" s="155" t="s">
        <v>269</v>
      </c>
      <c r="D8" s="155"/>
      <c r="E8" s="155"/>
      <c r="F8" s="155"/>
      <c r="G8" s="156"/>
    </row>
    <row r="9" spans="1:9" x14ac:dyDescent="0.25">
      <c r="A9" s="157" t="s">
        <v>1</v>
      </c>
      <c r="B9" s="158" t="s">
        <v>270</v>
      </c>
      <c r="C9" s="158"/>
      <c r="D9" s="158"/>
      <c r="E9" s="158"/>
      <c r="F9" s="158"/>
      <c r="G9" s="159"/>
    </row>
    <row r="10" spans="1:9" ht="15.75" x14ac:dyDescent="0.25">
      <c r="A10" s="157" t="s">
        <v>271</v>
      </c>
      <c r="B10" s="158" t="s">
        <v>272</v>
      </c>
      <c r="C10" s="158" t="s">
        <v>96</v>
      </c>
      <c r="D10" s="158">
        <v>2</v>
      </c>
      <c r="E10" s="158">
        <v>1.5</v>
      </c>
      <c r="F10" s="158">
        <v>0.08</v>
      </c>
      <c r="G10" s="159">
        <f>D10*E10*F10</f>
        <v>0.24</v>
      </c>
      <c r="H10" t="s">
        <v>651</v>
      </c>
      <c r="I10" s="6">
        <v>4805750</v>
      </c>
    </row>
    <row r="11" spans="1:9" x14ac:dyDescent="0.25">
      <c r="A11" s="157" t="s">
        <v>273</v>
      </c>
      <c r="B11" s="158" t="s">
        <v>274</v>
      </c>
      <c r="C11" s="158" t="s">
        <v>96</v>
      </c>
      <c r="D11" s="158">
        <v>7</v>
      </c>
      <c r="E11" s="158">
        <v>0.9</v>
      </c>
      <c r="F11" s="158">
        <v>0.05</v>
      </c>
      <c r="G11" s="159">
        <f>D11*E11*F11</f>
        <v>0.315</v>
      </c>
      <c r="H11" t="s">
        <v>652</v>
      </c>
      <c r="I11" s="3">
        <v>1106057</v>
      </c>
    </row>
    <row r="12" spans="1:9" x14ac:dyDescent="0.25">
      <c r="A12" s="157"/>
      <c r="B12" s="158" t="s">
        <v>639</v>
      </c>
      <c r="C12" s="158" t="s">
        <v>114</v>
      </c>
      <c r="D12" s="158">
        <v>2</v>
      </c>
      <c r="E12" s="158">
        <v>1.5</v>
      </c>
      <c r="F12" s="158">
        <v>0.1</v>
      </c>
      <c r="G12" s="159">
        <f>(D12*2)*0.1</f>
        <v>0.4</v>
      </c>
      <c r="H12" t="s">
        <v>653</v>
      </c>
      <c r="I12" s="49">
        <v>4915710</v>
      </c>
    </row>
    <row r="13" spans="1:9" x14ac:dyDescent="0.25">
      <c r="A13" s="157" t="s">
        <v>61</v>
      </c>
      <c r="B13" s="158" t="s">
        <v>275</v>
      </c>
      <c r="C13" s="158"/>
      <c r="D13" s="158"/>
      <c r="E13" s="158"/>
      <c r="F13" s="158"/>
      <c r="G13" s="159"/>
    </row>
    <row r="14" spans="1:9" x14ac:dyDescent="0.25">
      <c r="A14" s="157" t="s">
        <v>276</v>
      </c>
      <c r="B14" s="158" t="s">
        <v>277</v>
      </c>
      <c r="C14" s="158" t="s">
        <v>114</v>
      </c>
      <c r="D14" s="158">
        <v>5</v>
      </c>
      <c r="E14" s="158"/>
      <c r="F14" s="158"/>
      <c r="G14" s="159">
        <f>(D14)</f>
        <v>5</v>
      </c>
      <c r="H14" t="s">
        <v>654</v>
      </c>
      <c r="I14" s="3">
        <v>98529</v>
      </c>
    </row>
    <row r="15" spans="1:9" x14ac:dyDescent="0.25">
      <c r="A15" s="157" t="s">
        <v>278</v>
      </c>
      <c r="B15" s="158" t="s">
        <v>279</v>
      </c>
      <c r="C15" s="158" t="s">
        <v>96</v>
      </c>
      <c r="D15" s="158">
        <v>2</v>
      </c>
      <c r="E15" s="158">
        <v>0.7</v>
      </c>
      <c r="F15" s="158">
        <v>0.3</v>
      </c>
      <c r="G15" s="159">
        <f>(D15*E15*F15)*2</f>
        <v>0.84</v>
      </c>
      <c r="H15" t="s">
        <v>656</v>
      </c>
    </row>
    <row r="16" spans="1:9" x14ac:dyDescent="0.25">
      <c r="A16" s="157" t="s">
        <v>280</v>
      </c>
      <c r="B16" s="158" t="s">
        <v>281</v>
      </c>
      <c r="C16" s="158"/>
      <c r="D16" s="158"/>
      <c r="E16" s="158"/>
      <c r="F16" s="158"/>
      <c r="G16" s="159"/>
    </row>
    <row r="17" spans="1:11" x14ac:dyDescent="0.25">
      <c r="A17" s="157" t="s">
        <v>282</v>
      </c>
      <c r="B17" s="158" t="s">
        <v>283</v>
      </c>
      <c r="C17" s="158" t="s">
        <v>96</v>
      </c>
      <c r="D17" s="158">
        <v>2</v>
      </c>
      <c r="E17" s="158">
        <v>0.7</v>
      </c>
      <c r="F17" s="158">
        <v>0.3</v>
      </c>
      <c r="G17" s="159">
        <f>(D17*E17*F17)</f>
        <v>0.42</v>
      </c>
      <c r="H17" t="s">
        <v>655</v>
      </c>
    </row>
    <row r="18" spans="1:11" x14ac:dyDescent="0.25">
      <c r="A18" s="157"/>
      <c r="B18" s="158"/>
      <c r="C18" s="158"/>
      <c r="D18" s="158"/>
      <c r="E18" s="158"/>
      <c r="F18" s="158"/>
      <c r="G18" s="159"/>
    </row>
    <row r="19" spans="1:11" x14ac:dyDescent="0.25">
      <c r="A19" s="160">
        <v>2</v>
      </c>
      <c r="B19" s="161" t="s">
        <v>284</v>
      </c>
      <c r="C19" s="162" t="s">
        <v>285</v>
      </c>
      <c r="D19" s="161"/>
      <c r="E19" s="161"/>
      <c r="F19" s="161"/>
      <c r="G19" s="163"/>
    </row>
    <row r="20" spans="1:11" x14ac:dyDescent="0.25">
      <c r="A20" s="157" t="s">
        <v>68</v>
      </c>
      <c r="B20" s="158" t="s">
        <v>270</v>
      </c>
      <c r="C20" s="158"/>
      <c r="D20" s="158"/>
      <c r="E20" s="158"/>
      <c r="F20" s="158"/>
      <c r="G20" s="159"/>
    </row>
    <row r="21" spans="1:11" x14ac:dyDescent="0.25">
      <c r="A21" s="157" t="s">
        <v>484</v>
      </c>
      <c r="B21" s="158" t="s">
        <v>286</v>
      </c>
      <c r="C21" s="158" t="s">
        <v>96</v>
      </c>
      <c r="D21" s="158">
        <v>3.5</v>
      </c>
      <c r="E21" s="158">
        <v>1.5</v>
      </c>
      <c r="F21" s="158">
        <v>0.2</v>
      </c>
      <c r="G21" s="159">
        <f>(D21*E21*F21)</f>
        <v>1.05</v>
      </c>
      <c r="H21" t="s">
        <v>657</v>
      </c>
      <c r="I21" s="51">
        <v>4915713</v>
      </c>
    </row>
    <row r="22" spans="1:11" x14ac:dyDescent="0.25">
      <c r="A22" s="157"/>
      <c r="B22" s="158"/>
      <c r="C22" s="158"/>
      <c r="D22" s="158"/>
      <c r="E22" s="158"/>
      <c r="F22" s="158"/>
      <c r="G22" s="159"/>
    </row>
    <row r="23" spans="1:11" x14ac:dyDescent="0.25">
      <c r="A23" s="157" t="s">
        <v>69</v>
      </c>
      <c r="B23" s="158" t="s">
        <v>275</v>
      </c>
      <c r="C23" s="158"/>
      <c r="D23" s="158"/>
      <c r="E23" s="158"/>
      <c r="F23" s="158"/>
      <c r="G23" s="159"/>
    </row>
    <row r="24" spans="1:11" x14ac:dyDescent="0.25">
      <c r="A24" s="157" t="s">
        <v>489</v>
      </c>
      <c r="B24" s="158" t="s">
        <v>287</v>
      </c>
      <c r="C24" s="158" t="s">
        <v>114</v>
      </c>
      <c r="D24" s="158">
        <v>4.5</v>
      </c>
      <c r="E24" s="158">
        <v>0.8</v>
      </c>
      <c r="F24" s="158">
        <v>0.4</v>
      </c>
      <c r="G24" s="159">
        <f>D24*E24*0.3</f>
        <v>1.08</v>
      </c>
      <c r="H24" t="s">
        <v>657</v>
      </c>
      <c r="I24" s="51">
        <v>4915713</v>
      </c>
    </row>
    <row r="25" spans="1:11" x14ac:dyDescent="0.25">
      <c r="A25" s="157" t="s">
        <v>490</v>
      </c>
      <c r="B25" s="216" t="s">
        <v>20</v>
      </c>
      <c r="C25" s="158" t="s">
        <v>433</v>
      </c>
      <c r="D25" s="158">
        <v>10</v>
      </c>
      <c r="E25" s="158"/>
      <c r="F25" s="158"/>
      <c r="G25" s="159">
        <f>D25</f>
        <v>10</v>
      </c>
      <c r="H25" t="s">
        <v>654</v>
      </c>
      <c r="I25" s="3">
        <v>98529</v>
      </c>
    </row>
    <row r="26" spans="1:11" ht="15.75" thickBot="1" x14ac:dyDescent="0.3">
      <c r="A26" s="160">
        <v>3</v>
      </c>
      <c r="B26" s="161" t="s">
        <v>288</v>
      </c>
      <c r="C26" s="162" t="s">
        <v>289</v>
      </c>
      <c r="D26" s="161"/>
      <c r="E26" s="161"/>
      <c r="F26" s="161"/>
      <c r="G26" s="163"/>
    </row>
    <row r="27" spans="1:11" x14ac:dyDescent="0.25">
      <c r="A27" s="157" t="s">
        <v>70</v>
      </c>
      <c r="B27" s="158" t="s">
        <v>270</v>
      </c>
      <c r="C27" s="158"/>
      <c r="D27" s="158"/>
      <c r="E27" s="158"/>
      <c r="F27" s="158"/>
      <c r="G27" s="159"/>
      <c r="H27" s="168"/>
      <c r="I27" s="167" t="s">
        <v>290</v>
      </c>
      <c r="J27" s="168" t="s">
        <v>291</v>
      </c>
      <c r="K27" s="169" t="s">
        <v>292</v>
      </c>
    </row>
    <row r="28" spans="1:11" ht="15.75" thickBot="1" x14ac:dyDescent="0.3">
      <c r="A28" s="157" t="s">
        <v>71</v>
      </c>
      <c r="B28" s="158" t="s">
        <v>293</v>
      </c>
      <c r="C28" s="158" t="s">
        <v>96</v>
      </c>
      <c r="D28" s="158">
        <v>1.5</v>
      </c>
      <c r="E28" s="158">
        <v>0.75</v>
      </c>
      <c r="F28" s="158">
        <v>0.15</v>
      </c>
      <c r="G28" s="159">
        <f>(D28*E28*F28)*2</f>
        <v>0.33749999999999997</v>
      </c>
      <c r="H28" s="171"/>
      <c r="I28" s="170" t="s">
        <v>294</v>
      </c>
      <c r="J28" s="172">
        <v>56.79</v>
      </c>
      <c r="K28" s="173">
        <v>51.87</v>
      </c>
    </row>
    <row r="29" spans="1:11" x14ac:dyDescent="0.25">
      <c r="A29" s="157" t="s">
        <v>79</v>
      </c>
      <c r="B29" s="158" t="s">
        <v>483</v>
      </c>
      <c r="C29" s="158" t="s">
        <v>114</v>
      </c>
      <c r="D29" s="158">
        <v>4.5</v>
      </c>
      <c r="E29" s="158">
        <v>6.3</v>
      </c>
      <c r="F29" s="158">
        <v>2.5</v>
      </c>
      <c r="G29" s="159">
        <f>((D29+E29)/2)*F29</f>
        <v>13.5</v>
      </c>
      <c r="I29" s="51">
        <v>4915713</v>
      </c>
    </row>
    <row r="30" spans="1:11" x14ac:dyDescent="0.25">
      <c r="A30" s="157"/>
      <c r="B30" s="216" t="s">
        <v>20</v>
      </c>
      <c r="C30" s="158" t="s">
        <v>264</v>
      </c>
      <c r="D30" s="158">
        <v>6</v>
      </c>
      <c r="E30" s="158"/>
      <c r="F30" s="158"/>
      <c r="G30" s="159">
        <f>D30</f>
        <v>6</v>
      </c>
      <c r="I30" s="3">
        <v>98529</v>
      </c>
    </row>
    <row r="31" spans="1:11" x14ac:dyDescent="0.25">
      <c r="A31" s="157" t="s">
        <v>72</v>
      </c>
      <c r="B31" s="158" t="s">
        <v>275</v>
      </c>
      <c r="C31" s="158"/>
      <c r="D31" s="158"/>
      <c r="E31" s="158"/>
      <c r="F31" s="158"/>
      <c r="G31" s="159"/>
    </row>
    <row r="32" spans="1:11" x14ac:dyDescent="0.25">
      <c r="A32" s="157" t="s">
        <v>78</v>
      </c>
      <c r="B32" s="158" t="s">
        <v>296</v>
      </c>
      <c r="C32" s="158" t="s">
        <v>114</v>
      </c>
      <c r="D32" s="158">
        <v>5.5</v>
      </c>
      <c r="E32" s="158">
        <v>0.8</v>
      </c>
      <c r="F32" s="158"/>
      <c r="G32" s="159">
        <f>D32*E32</f>
        <v>4.4000000000000004</v>
      </c>
      <c r="I32" s="3">
        <v>4016008</v>
      </c>
    </row>
    <row r="33" spans="1:9" x14ac:dyDescent="0.25">
      <c r="A33" s="157" t="s">
        <v>454</v>
      </c>
      <c r="B33" s="158" t="s">
        <v>26</v>
      </c>
      <c r="C33" s="158" t="s">
        <v>96</v>
      </c>
      <c r="D33" s="158">
        <v>10</v>
      </c>
      <c r="E33" s="158">
        <v>3</v>
      </c>
      <c r="F33" s="158">
        <v>2.5</v>
      </c>
      <c r="G33" s="159">
        <f>D33*E33*F33</f>
        <v>75</v>
      </c>
      <c r="I33" s="3">
        <v>5914359</v>
      </c>
    </row>
    <row r="34" spans="1:9" x14ac:dyDescent="0.25">
      <c r="A34" s="157" t="s">
        <v>456</v>
      </c>
      <c r="B34" s="3" t="s">
        <v>37</v>
      </c>
      <c r="C34" s="158" t="str">
        <f>C33</f>
        <v>M3</v>
      </c>
      <c r="D34" s="158">
        <v>10</v>
      </c>
      <c r="E34" s="158">
        <v>0.3</v>
      </c>
      <c r="F34" s="158">
        <v>0.3</v>
      </c>
      <c r="G34" s="159">
        <f>D34*E34*F34</f>
        <v>0.89999999999999991</v>
      </c>
      <c r="I34" s="3">
        <v>4915774</v>
      </c>
    </row>
    <row r="35" spans="1:9" ht="30" x14ac:dyDescent="0.25">
      <c r="A35" s="157" t="s">
        <v>457</v>
      </c>
      <c r="B35" s="2" t="s">
        <v>75</v>
      </c>
      <c r="C35" s="158" t="s">
        <v>424</v>
      </c>
      <c r="D35" s="158">
        <v>10</v>
      </c>
      <c r="E35" s="158"/>
      <c r="F35" s="158"/>
      <c r="G35" s="159">
        <f>D35</f>
        <v>10</v>
      </c>
      <c r="I35" s="3">
        <v>2004504</v>
      </c>
    </row>
    <row r="36" spans="1:9" x14ac:dyDescent="0.25">
      <c r="A36" s="157"/>
      <c r="B36" s="2"/>
      <c r="C36" s="158"/>
      <c r="D36" s="158"/>
      <c r="E36" s="158"/>
      <c r="F36" s="158"/>
      <c r="G36" s="159"/>
      <c r="I36" s="3">
        <v>2003799</v>
      </c>
    </row>
    <row r="37" spans="1:9" x14ac:dyDescent="0.25">
      <c r="A37" s="160">
        <v>4</v>
      </c>
      <c r="B37" s="161" t="s">
        <v>297</v>
      </c>
      <c r="C37" s="162" t="s">
        <v>298</v>
      </c>
      <c r="D37" s="161"/>
      <c r="E37" s="161"/>
      <c r="F37" s="161"/>
      <c r="G37" s="163"/>
    </row>
    <row r="38" spans="1:9" x14ac:dyDescent="0.25">
      <c r="A38" s="157" t="s">
        <v>261</v>
      </c>
      <c r="B38" s="158" t="s">
        <v>270</v>
      </c>
      <c r="C38" s="158"/>
      <c r="D38" s="158"/>
      <c r="E38" s="158"/>
      <c r="F38" s="158"/>
      <c r="G38" s="159"/>
    </row>
    <row r="39" spans="1:9" x14ac:dyDescent="0.25">
      <c r="A39" s="157" t="s">
        <v>76</v>
      </c>
      <c r="B39" s="158" t="s">
        <v>299</v>
      </c>
      <c r="C39" s="158" t="s">
        <v>96</v>
      </c>
      <c r="D39" s="158">
        <v>3.5</v>
      </c>
      <c r="E39" s="158">
        <v>2</v>
      </c>
      <c r="F39" s="158">
        <v>0.6</v>
      </c>
      <c r="G39" s="159">
        <f>(D39*E39*F39)</f>
        <v>4.2</v>
      </c>
      <c r="I39" s="144">
        <v>1600989</v>
      </c>
    </row>
    <row r="40" spans="1:9" x14ac:dyDescent="0.25">
      <c r="A40" s="157" t="s">
        <v>77</v>
      </c>
      <c r="B40" s="158" t="s">
        <v>299</v>
      </c>
      <c r="C40" s="158" t="s">
        <v>96</v>
      </c>
      <c r="D40" s="158">
        <v>1</v>
      </c>
      <c r="E40" s="158">
        <v>1</v>
      </c>
      <c r="F40" s="158">
        <v>0.6</v>
      </c>
      <c r="G40" s="159">
        <f>(D40*E40*F40)</f>
        <v>0.6</v>
      </c>
      <c r="I40" s="3">
        <v>1506055</v>
      </c>
    </row>
    <row r="41" spans="1:9" x14ac:dyDescent="0.25">
      <c r="A41" s="157" t="s">
        <v>80</v>
      </c>
      <c r="B41" s="158" t="s">
        <v>300</v>
      </c>
      <c r="C41" s="158" t="s">
        <v>96</v>
      </c>
      <c r="D41" s="158">
        <v>2.5</v>
      </c>
      <c r="E41" s="158">
        <v>4</v>
      </c>
      <c r="F41" s="158">
        <v>0.4</v>
      </c>
      <c r="G41" s="159">
        <f>((D41*E41)/2)*F41</f>
        <v>2</v>
      </c>
      <c r="I41" s="3">
        <v>1106057</v>
      </c>
    </row>
    <row r="42" spans="1:9" x14ac:dyDescent="0.25">
      <c r="A42" s="157" t="s">
        <v>301</v>
      </c>
      <c r="B42" s="158" t="s">
        <v>299</v>
      </c>
      <c r="C42" s="158" t="s">
        <v>96</v>
      </c>
      <c r="D42" s="158">
        <v>2.5</v>
      </c>
      <c r="E42" s="158">
        <v>4</v>
      </c>
      <c r="F42" s="158">
        <v>0.4</v>
      </c>
      <c r="G42" s="159">
        <f>((D42*E42)/2)*F42</f>
        <v>2</v>
      </c>
      <c r="I42" s="3">
        <v>2003799</v>
      </c>
    </row>
    <row r="43" spans="1:9" x14ac:dyDescent="0.25">
      <c r="A43" s="157" t="s">
        <v>302</v>
      </c>
      <c r="B43" s="158" t="s">
        <v>303</v>
      </c>
      <c r="C43" s="158" t="s">
        <v>96</v>
      </c>
      <c r="D43" s="158">
        <v>2.5</v>
      </c>
      <c r="E43" s="158">
        <v>0.5</v>
      </c>
      <c r="F43" s="158">
        <v>0.2</v>
      </c>
      <c r="G43" s="159">
        <f>(D43*E43*F43)</f>
        <v>0.25</v>
      </c>
      <c r="I43" s="3">
        <v>2004504</v>
      </c>
    </row>
    <row r="44" spans="1:9" x14ac:dyDescent="0.25">
      <c r="A44" s="157" t="s">
        <v>304</v>
      </c>
      <c r="B44" s="164" t="s">
        <v>303</v>
      </c>
      <c r="C44" s="158" t="s">
        <v>96</v>
      </c>
      <c r="D44" s="158">
        <v>2.2999999999999998</v>
      </c>
      <c r="E44" s="158">
        <v>2.5</v>
      </c>
      <c r="F44" s="158">
        <v>0.6</v>
      </c>
      <c r="G44" s="159">
        <f>(D44*E44*F44)</f>
        <v>3.4499999999999997</v>
      </c>
      <c r="I44" s="49">
        <v>4915712</v>
      </c>
    </row>
    <row r="45" spans="1:9" x14ac:dyDescent="0.25">
      <c r="A45" s="157"/>
      <c r="B45" s="164" t="s">
        <v>639</v>
      </c>
      <c r="C45" s="158" t="s">
        <v>494</v>
      </c>
      <c r="D45" s="158">
        <v>2.5</v>
      </c>
      <c r="E45" s="158">
        <v>4</v>
      </c>
      <c r="F45" s="158">
        <v>0.4</v>
      </c>
      <c r="G45" s="159">
        <f>((D45+E45)*F45)+((D43*2*F43))</f>
        <v>3.6</v>
      </c>
      <c r="I45" s="51"/>
    </row>
    <row r="46" spans="1:9" x14ac:dyDescent="0.25">
      <c r="A46" s="157" t="s">
        <v>305</v>
      </c>
      <c r="B46" s="158" t="s">
        <v>306</v>
      </c>
      <c r="C46" s="158" t="s">
        <v>96</v>
      </c>
      <c r="D46" s="158">
        <v>8.5</v>
      </c>
      <c r="E46" s="158">
        <v>7.15</v>
      </c>
      <c r="F46" s="158">
        <v>0.4</v>
      </c>
      <c r="G46" s="159">
        <f>(D46*E46*F46)</f>
        <v>24.310000000000002</v>
      </c>
    </row>
    <row r="47" spans="1:9" x14ac:dyDescent="0.25">
      <c r="A47" s="157"/>
      <c r="B47" s="158" t="s">
        <v>75</v>
      </c>
      <c r="C47" s="158" t="s">
        <v>424</v>
      </c>
      <c r="D47" s="158">
        <v>50</v>
      </c>
      <c r="E47" s="158"/>
      <c r="F47" s="158"/>
      <c r="G47" s="159">
        <f>D47</f>
        <v>50</v>
      </c>
    </row>
    <row r="48" spans="1:9" x14ac:dyDescent="0.25">
      <c r="A48" s="157" t="s">
        <v>262</v>
      </c>
      <c r="B48" s="158" t="s">
        <v>275</v>
      </c>
      <c r="C48" s="158"/>
      <c r="D48" s="158"/>
      <c r="E48" s="158"/>
      <c r="F48" s="158"/>
      <c r="G48" s="159"/>
    </row>
    <row r="49" spans="1:9" x14ac:dyDescent="0.25">
      <c r="A49" s="157"/>
      <c r="B49" s="158" t="s">
        <v>307</v>
      </c>
      <c r="C49" s="158"/>
      <c r="D49" s="158"/>
      <c r="E49" s="158"/>
      <c r="F49" s="158"/>
      <c r="G49" s="159"/>
    </row>
    <row r="50" spans="1:9" x14ac:dyDescent="0.25">
      <c r="A50" s="157"/>
      <c r="B50" s="158"/>
      <c r="C50" s="158"/>
      <c r="D50" s="158"/>
      <c r="E50" s="158"/>
      <c r="F50" s="158"/>
      <c r="G50" s="159"/>
    </row>
    <row r="51" spans="1:9" x14ac:dyDescent="0.25">
      <c r="A51" s="160">
        <v>5</v>
      </c>
      <c r="B51" s="161" t="s">
        <v>308</v>
      </c>
      <c r="C51" s="162" t="s">
        <v>309</v>
      </c>
      <c r="D51" s="161"/>
      <c r="E51" s="161"/>
      <c r="F51" s="161"/>
      <c r="G51" s="163"/>
    </row>
    <row r="52" spans="1:9" x14ac:dyDescent="0.25">
      <c r="A52" s="157" t="s">
        <v>139</v>
      </c>
      <c r="B52" s="158" t="s">
        <v>270</v>
      </c>
      <c r="C52" s="158"/>
      <c r="D52" s="158"/>
      <c r="E52" s="158"/>
      <c r="F52" s="158"/>
      <c r="G52" s="159"/>
      <c r="H52" s="145" t="s">
        <v>29</v>
      </c>
      <c r="I52" s="7">
        <v>5914359</v>
      </c>
    </row>
    <row r="53" spans="1:9" x14ac:dyDescent="0.25">
      <c r="A53" s="157" t="s">
        <v>140</v>
      </c>
      <c r="B53" s="158" t="s">
        <v>310</v>
      </c>
      <c r="C53" s="158" t="s">
        <v>96</v>
      </c>
      <c r="D53" s="158">
        <v>10</v>
      </c>
      <c r="E53" s="158">
        <v>10</v>
      </c>
      <c r="F53" s="158">
        <v>2</v>
      </c>
      <c r="G53" s="159">
        <f>D53*E53*F53</f>
        <v>200</v>
      </c>
      <c r="H53" s="145" t="s">
        <v>26</v>
      </c>
      <c r="I53" s="3">
        <v>4915774</v>
      </c>
    </row>
    <row r="54" spans="1:9" x14ac:dyDescent="0.25">
      <c r="A54" s="157" t="s">
        <v>141</v>
      </c>
      <c r="B54" s="158" t="s">
        <v>311</v>
      </c>
      <c r="C54" s="158" t="s">
        <v>96</v>
      </c>
      <c r="D54" s="158">
        <v>4</v>
      </c>
      <c r="E54" s="158">
        <v>5</v>
      </c>
      <c r="F54" s="158">
        <v>0.3</v>
      </c>
      <c r="G54" s="159">
        <f>D54*E54*F54</f>
        <v>6</v>
      </c>
      <c r="H54" s="145" t="s">
        <v>29</v>
      </c>
      <c r="I54" s="7">
        <v>5914359</v>
      </c>
    </row>
    <row r="55" spans="1:9" x14ac:dyDescent="0.25">
      <c r="A55" s="157" t="s">
        <v>142</v>
      </c>
      <c r="B55" s="158" t="s">
        <v>312</v>
      </c>
      <c r="C55" s="158" t="s">
        <v>96</v>
      </c>
      <c r="D55" s="158">
        <v>7</v>
      </c>
      <c r="E55" s="158">
        <v>5</v>
      </c>
      <c r="F55" s="158">
        <v>0.3</v>
      </c>
      <c r="G55" s="159">
        <f>D55*E55*F55</f>
        <v>10.5</v>
      </c>
      <c r="H55" s="145" t="s">
        <v>145</v>
      </c>
      <c r="I55" s="3">
        <v>1506055</v>
      </c>
    </row>
    <row r="56" spans="1:9" x14ac:dyDescent="0.25">
      <c r="A56" s="157" t="s">
        <v>313</v>
      </c>
      <c r="B56" s="158" t="s">
        <v>314</v>
      </c>
      <c r="C56" s="158" t="s">
        <v>114</v>
      </c>
      <c r="D56" s="158">
        <v>5.5</v>
      </c>
      <c r="E56" s="158">
        <v>9.5</v>
      </c>
      <c r="F56" s="158">
        <v>5</v>
      </c>
      <c r="G56" s="159">
        <f>((D56+E56)/2)*F56</f>
        <v>37.5</v>
      </c>
      <c r="H56" s="145" t="s">
        <v>18</v>
      </c>
      <c r="I56" s="3">
        <v>1505878</v>
      </c>
    </row>
    <row r="57" spans="1:9" x14ac:dyDescent="0.25">
      <c r="A57" s="157" t="s">
        <v>642</v>
      </c>
      <c r="B57" s="158" t="s">
        <v>396</v>
      </c>
      <c r="C57" s="158" t="s">
        <v>114</v>
      </c>
      <c r="D57" s="158">
        <v>4</v>
      </c>
      <c r="E57" s="158">
        <v>5</v>
      </c>
      <c r="F57" s="158">
        <v>0.3</v>
      </c>
      <c r="G57" s="159">
        <f>(((D57+E57)*2)*F57)</f>
        <v>5.3999999999999995</v>
      </c>
      <c r="H57" s="145" t="s">
        <v>29</v>
      </c>
      <c r="I57" s="7">
        <v>5914359</v>
      </c>
    </row>
    <row r="58" spans="1:9" x14ac:dyDescent="0.25">
      <c r="A58" s="157" t="s">
        <v>143</v>
      </c>
      <c r="B58" s="158" t="s">
        <v>275</v>
      </c>
      <c r="C58" s="158"/>
      <c r="D58" s="158"/>
      <c r="E58" s="158"/>
      <c r="F58" s="158"/>
      <c r="G58" s="159"/>
      <c r="H58" s="178" t="s">
        <v>16</v>
      </c>
      <c r="I58" s="49">
        <v>4800412</v>
      </c>
    </row>
    <row r="59" spans="1:9" x14ac:dyDescent="0.25">
      <c r="A59" s="157" t="s">
        <v>466</v>
      </c>
      <c r="B59" s="158" t="s">
        <v>20</v>
      </c>
      <c r="C59" s="158" t="s">
        <v>114</v>
      </c>
      <c r="D59" s="158">
        <v>2</v>
      </c>
      <c r="E59" s="158">
        <v>2</v>
      </c>
      <c r="F59" s="158"/>
      <c r="G59" s="159">
        <f>D59*E59</f>
        <v>4</v>
      </c>
      <c r="I59" s="3">
        <v>98529</v>
      </c>
    </row>
    <row r="60" spans="1:9" x14ac:dyDescent="0.25">
      <c r="A60" s="157"/>
      <c r="B60" s="158"/>
      <c r="C60" s="158"/>
      <c r="D60" s="158"/>
      <c r="E60" s="158"/>
      <c r="F60" s="158"/>
      <c r="G60" s="159"/>
    </row>
    <row r="61" spans="1:9" x14ac:dyDescent="0.25">
      <c r="A61" s="160">
        <v>6</v>
      </c>
      <c r="B61" s="161" t="s">
        <v>315</v>
      </c>
      <c r="C61" s="162" t="s">
        <v>298</v>
      </c>
      <c r="D61" s="161"/>
      <c r="E61" s="161"/>
      <c r="F61" s="161"/>
      <c r="G61" s="163"/>
    </row>
    <row r="62" spans="1:9" x14ac:dyDescent="0.25">
      <c r="A62" s="157" t="s">
        <v>316</v>
      </c>
      <c r="B62" s="158" t="s">
        <v>270</v>
      </c>
      <c r="C62" s="158"/>
      <c r="D62" s="158"/>
      <c r="E62" s="158"/>
      <c r="F62" s="158"/>
      <c r="G62" s="159"/>
      <c r="H62" s="179" t="s">
        <v>47</v>
      </c>
      <c r="I62" s="51">
        <v>1619004</v>
      </c>
    </row>
    <row r="63" spans="1:9" x14ac:dyDescent="0.25">
      <c r="A63" s="157" t="s">
        <v>317</v>
      </c>
      <c r="B63" s="158" t="s">
        <v>318</v>
      </c>
      <c r="C63" s="158" t="s">
        <v>96</v>
      </c>
      <c r="D63" s="158">
        <v>6</v>
      </c>
      <c r="E63" s="158">
        <v>6.2</v>
      </c>
      <c r="F63" s="158">
        <v>9</v>
      </c>
      <c r="G63" s="159">
        <f>(((D63*F63)/2)+(E63*9))*0.4</f>
        <v>33.120000000000005</v>
      </c>
      <c r="H63" s="145" t="s">
        <v>29</v>
      </c>
      <c r="I63" s="7">
        <v>5914359</v>
      </c>
    </row>
    <row r="64" spans="1:9" x14ac:dyDescent="0.25">
      <c r="A64" s="157" t="s">
        <v>319</v>
      </c>
      <c r="B64" s="158" t="s">
        <v>320</v>
      </c>
      <c r="C64" s="158" t="s">
        <v>96</v>
      </c>
      <c r="D64" s="158">
        <v>12</v>
      </c>
      <c r="E64" s="158">
        <v>9</v>
      </c>
      <c r="F64" s="158">
        <v>1.5</v>
      </c>
      <c r="G64" s="159">
        <f>D64*E64*F64</f>
        <v>162</v>
      </c>
      <c r="H64" s="145" t="s">
        <v>28</v>
      </c>
      <c r="I64" s="5" t="s">
        <v>31</v>
      </c>
    </row>
    <row r="65" spans="1:9" x14ac:dyDescent="0.25">
      <c r="A65" s="157" t="s">
        <v>321</v>
      </c>
      <c r="B65" s="158" t="s">
        <v>322</v>
      </c>
      <c r="C65" s="158" t="s">
        <v>96</v>
      </c>
      <c r="D65" s="158">
        <v>6</v>
      </c>
      <c r="E65" s="158">
        <v>6.2</v>
      </c>
      <c r="F65" s="158">
        <v>9</v>
      </c>
      <c r="G65" s="159">
        <f>(((D65*F65)/2)+(E65*F65))*F66</f>
        <v>33.120000000000005</v>
      </c>
      <c r="H65" s="145" t="s">
        <v>26</v>
      </c>
      <c r="I65" s="5" t="s">
        <v>27</v>
      </c>
    </row>
    <row r="66" spans="1:9" x14ac:dyDescent="0.25">
      <c r="A66" s="157" t="s">
        <v>323</v>
      </c>
      <c r="B66" s="158" t="s">
        <v>324</v>
      </c>
      <c r="C66" s="158" t="s">
        <v>96</v>
      </c>
      <c r="D66" s="158">
        <v>0.3</v>
      </c>
      <c r="E66" s="158">
        <v>0.5</v>
      </c>
      <c r="F66" s="158">
        <v>0.4</v>
      </c>
      <c r="G66" s="159">
        <f>((D66+E66+F66)*0.5)</f>
        <v>0.60000000000000009</v>
      </c>
      <c r="H66" s="145" t="s">
        <v>29</v>
      </c>
      <c r="I66" s="5" t="s">
        <v>32</v>
      </c>
    </row>
    <row r="67" spans="1:9" x14ac:dyDescent="0.25">
      <c r="A67" s="157" t="s">
        <v>325</v>
      </c>
      <c r="B67" s="158" t="s">
        <v>326</v>
      </c>
      <c r="C67" s="158" t="s">
        <v>96</v>
      </c>
      <c r="D67" s="158">
        <v>2.5</v>
      </c>
      <c r="E67" s="158">
        <v>3</v>
      </c>
      <c r="F67" s="158">
        <v>0.9</v>
      </c>
      <c r="G67" s="159">
        <f>D67*E67*F67</f>
        <v>6.75</v>
      </c>
      <c r="H67" s="145" t="s">
        <v>145</v>
      </c>
      <c r="I67" s="51">
        <v>1506055</v>
      </c>
    </row>
    <row r="68" spans="1:9" x14ac:dyDescent="0.25">
      <c r="A68" s="157" t="s">
        <v>327</v>
      </c>
      <c r="B68" s="158" t="s">
        <v>328</v>
      </c>
      <c r="C68" s="158" t="s">
        <v>114</v>
      </c>
      <c r="D68" s="158">
        <v>5.3</v>
      </c>
      <c r="E68" s="158">
        <v>9.3000000000000007</v>
      </c>
      <c r="F68" s="158">
        <v>7.5</v>
      </c>
      <c r="G68" s="159">
        <f>(((D68+E68)/2)*F68)</f>
        <v>54.750000000000007</v>
      </c>
      <c r="H68" s="145" t="s">
        <v>34</v>
      </c>
      <c r="I68" s="5" t="s">
        <v>33</v>
      </c>
    </row>
    <row r="69" spans="1:9" x14ac:dyDescent="0.25">
      <c r="A69" s="157" t="s">
        <v>640</v>
      </c>
      <c r="B69" s="158" t="s">
        <v>331</v>
      </c>
      <c r="C69" s="158" t="s">
        <v>264</v>
      </c>
      <c r="D69" s="158">
        <v>8</v>
      </c>
      <c r="E69" s="158"/>
      <c r="F69" s="158"/>
      <c r="G69" s="159">
        <f>D69</f>
        <v>8</v>
      </c>
      <c r="H69" s="145" t="s">
        <v>16</v>
      </c>
      <c r="I69" s="51">
        <v>4800412</v>
      </c>
    </row>
    <row r="70" spans="1:9" x14ac:dyDescent="0.25">
      <c r="A70" s="157" t="s">
        <v>641</v>
      </c>
      <c r="B70" s="158" t="s">
        <v>396</v>
      </c>
      <c r="C70" s="158" t="s">
        <v>114</v>
      </c>
      <c r="D70" s="158">
        <v>6</v>
      </c>
      <c r="E70" s="158">
        <v>6.2</v>
      </c>
      <c r="F70" s="158">
        <v>9</v>
      </c>
      <c r="G70" s="159">
        <f>(D70+E70+F70)*F66</f>
        <v>8.48</v>
      </c>
      <c r="H70" s="145" t="s">
        <v>20</v>
      </c>
      <c r="I70" s="3">
        <v>98529</v>
      </c>
    </row>
    <row r="71" spans="1:9" x14ac:dyDescent="0.25">
      <c r="A71" s="157" t="s">
        <v>329</v>
      </c>
      <c r="B71" s="158" t="s">
        <v>275</v>
      </c>
      <c r="C71" s="158"/>
      <c r="D71" s="158"/>
      <c r="E71" s="158"/>
      <c r="F71" s="158"/>
      <c r="G71" s="159"/>
    </row>
    <row r="72" spans="1:9" x14ac:dyDescent="0.25">
      <c r="A72" s="157" t="s">
        <v>330</v>
      </c>
      <c r="B72" s="158" t="s">
        <v>331</v>
      </c>
      <c r="C72" s="158" t="s">
        <v>264</v>
      </c>
      <c r="D72" s="158">
        <v>9</v>
      </c>
      <c r="E72" s="158"/>
      <c r="F72" s="158"/>
      <c r="G72" s="159">
        <f>D72</f>
        <v>9</v>
      </c>
      <c r="H72" s="145" t="s">
        <v>20</v>
      </c>
      <c r="I72" s="3">
        <v>98529</v>
      </c>
    </row>
    <row r="73" spans="1:9" x14ac:dyDescent="0.25">
      <c r="A73" s="157" t="s">
        <v>332</v>
      </c>
      <c r="B73" s="158" t="s">
        <v>333</v>
      </c>
      <c r="C73" s="158" t="s">
        <v>96</v>
      </c>
      <c r="D73" s="158">
        <v>1</v>
      </c>
      <c r="E73" s="158">
        <v>1</v>
      </c>
      <c r="F73" s="158">
        <v>0.5</v>
      </c>
      <c r="G73" s="159">
        <f>D73*E73*F73</f>
        <v>0.5</v>
      </c>
    </row>
    <row r="74" spans="1:9" x14ac:dyDescent="0.25">
      <c r="A74" s="157"/>
      <c r="B74" s="158"/>
      <c r="C74" s="158"/>
      <c r="D74" s="158"/>
      <c r="E74" s="158"/>
      <c r="F74" s="158"/>
      <c r="G74" s="159"/>
    </row>
    <row r="75" spans="1:9" x14ac:dyDescent="0.25">
      <c r="A75" s="160">
        <v>7</v>
      </c>
      <c r="B75" s="161" t="s">
        <v>334</v>
      </c>
      <c r="C75" s="162" t="s">
        <v>335</v>
      </c>
      <c r="D75" s="161"/>
      <c r="E75" s="161"/>
      <c r="F75" s="161"/>
      <c r="G75" s="163"/>
    </row>
    <row r="76" spans="1:9" x14ac:dyDescent="0.25">
      <c r="A76" s="157" t="s">
        <v>336</v>
      </c>
      <c r="B76" s="158" t="s">
        <v>270</v>
      </c>
      <c r="C76" s="158"/>
      <c r="D76" s="158"/>
      <c r="E76" s="158"/>
      <c r="F76" s="158"/>
      <c r="G76" s="159"/>
      <c r="H76" s="145" t="s">
        <v>461</v>
      </c>
      <c r="I76" s="49">
        <v>4114</v>
      </c>
    </row>
    <row r="77" spans="1:9" x14ac:dyDescent="0.25">
      <c r="A77" s="157" t="s">
        <v>337</v>
      </c>
      <c r="B77" s="158" t="s">
        <v>462</v>
      </c>
      <c r="C77" s="158" t="s">
        <v>96</v>
      </c>
      <c r="D77" s="158">
        <v>0.8</v>
      </c>
      <c r="E77" s="158">
        <v>0.7</v>
      </c>
      <c r="F77" s="158">
        <v>0.4</v>
      </c>
      <c r="G77" s="159">
        <f>(D77*E77*F77)</f>
        <v>0.22399999999999998</v>
      </c>
      <c r="H77" s="217" t="s">
        <v>16</v>
      </c>
      <c r="I77" s="49">
        <v>4800412</v>
      </c>
    </row>
    <row r="78" spans="1:9" x14ac:dyDescent="0.25">
      <c r="A78" s="157" t="s">
        <v>338</v>
      </c>
      <c r="B78" s="158" t="s">
        <v>339</v>
      </c>
      <c r="C78" s="158" t="s">
        <v>114</v>
      </c>
      <c r="D78" s="158">
        <v>2</v>
      </c>
      <c r="E78" s="158">
        <v>1</v>
      </c>
      <c r="F78" s="164">
        <v>0.2</v>
      </c>
      <c r="G78" s="159">
        <f>D78*E78</f>
        <v>2</v>
      </c>
      <c r="H78" s="145" t="s">
        <v>34</v>
      </c>
      <c r="I78" s="5" t="s">
        <v>33</v>
      </c>
    </row>
    <row r="79" spans="1:9" x14ac:dyDescent="0.25">
      <c r="A79" s="157" t="s">
        <v>459</v>
      </c>
      <c r="B79" s="158" t="s">
        <v>441</v>
      </c>
      <c r="C79" s="158" t="s">
        <v>424</v>
      </c>
      <c r="D79" s="158">
        <v>8.5</v>
      </c>
      <c r="E79" s="158"/>
      <c r="F79" s="158"/>
      <c r="G79" s="159">
        <f>D79</f>
        <v>8.5</v>
      </c>
      <c r="H79" s="145" t="s">
        <v>20</v>
      </c>
      <c r="I79" s="3">
        <v>4915768</v>
      </c>
    </row>
    <row r="80" spans="1:9" x14ac:dyDescent="0.25">
      <c r="A80" s="157"/>
      <c r="B80" s="158" t="s">
        <v>492</v>
      </c>
      <c r="C80" s="158" t="s">
        <v>264</v>
      </c>
      <c r="D80" s="158">
        <v>3</v>
      </c>
      <c r="E80" s="158"/>
      <c r="F80" s="158"/>
      <c r="G80" s="159">
        <f t="shared" ref="G80:G83" si="0">D80</f>
        <v>3</v>
      </c>
      <c r="H80" s="145"/>
      <c r="I80" s="3"/>
    </row>
    <row r="81" spans="1:9" x14ac:dyDescent="0.25">
      <c r="A81" s="157"/>
      <c r="B81" s="145" t="s">
        <v>23</v>
      </c>
      <c r="C81" s="158" t="s">
        <v>424</v>
      </c>
      <c r="D81" s="158">
        <v>10</v>
      </c>
      <c r="E81" s="158"/>
      <c r="F81" s="158"/>
      <c r="G81" s="159">
        <f>D81</f>
        <v>10</v>
      </c>
      <c r="H81" s="145"/>
      <c r="I81" s="3"/>
    </row>
    <row r="82" spans="1:9" x14ac:dyDescent="0.25">
      <c r="A82" s="157" t="s">
        <v>340</v>
      </c>
      <c r="B82" s="158" t="s">
        <v>275</v>
      </c>
      <c r="C82" s="158"/>
      <c r="D82" s="158"/>
      <c r="E82" s="158"/>
      <c r="F82" s="158"/>
      <c r="G82" s="159">
        <f t="shared" si="0"/>
        <v>0</v>
      </c>
      <c r="H82" s="145" t="s">
        <v>23</v>
      </c>
      <c r="I82" s="3">
        <v>4915762</v>
      </c>
    </row>
    <row r="83" spans="1:9" x14ac:dyDescent="0.25">
      <c r="A83" s="157"/>
      <c r="B83" s="158" t="s">
        <v>492</v>
      </c>
      <c r="C83" s="158" t="s">
        <v>264</v>
      </c>
      <c r="D83" s="158">
        <v>2</v>
      </c>
      <c r="E83" s="158"/>
      <c r="F83" s="158"/>
      <c r="G83" s="159">
        <f t="shared" si="0"/>
        <v>2</v>
      </c>
    </row>
    <row r="84" spans="1:9" x14ac:dyDescent="0.25">
      <c r="A84" s="157"/>
      <c r="B84" s="158"/>
      <c r="C84" s="158"/>
      <c r="D84" s="158"/>
      <c r="E84" s="158"/>
      <c r="F84" s="158"/>
      <c r="G84" s="159"/>
      <c r="I84" s="3">
        <v>4915768</v>
      </c>
    </row>
    <row r="85" spans="1:9" x14ac:dyDescent="0.25">
      <c r="A85" s="160">
        <v>8</v>
      </c>
      <c r="B85" s="161" t="s">
        <v>342</v>
      </c>
      <c r="C85" s="162" t="s">
        <v>343</v>
      </c>
      <c r="D85" s="161"/>
      <c r="E85" s="161"/>
      <c r="F85" s="161"/>
      <c r="G85" s="163"/>
    </row>
    <row r="86" spans="1:9" x14ac:dyDescent="0.25">
      <c r="A86" s="157" t="s">
        <v>344</v>
      </c>
      <c r="B86" s="158" t="s">
        <v>270</v>
      </c>
      <c r="C86" s="158"/>
      <c r="D86" s="158"/>
      <c r="E86" s="158"/>
      <c r="F86" s="158"/>
      <c r="G86" s="159"/>
      <c r="I86" s="5" t="s">
        <v>22</v>
      </c>
    </row>
    <row r="87" spans="1:9" x14ac:dyDescent="0.25">
      <c r="A87" s="157" t="s">
        <v>345</v>
      </c>
      <c r="B87" s="158" t="s">
        <v>346</v>
      </c>
      <c r="C87" s="158" t="s">
        <v>96</v>
      </c>
      <c r="D87" s="158">
        <v>8</v>
      </c>
      <c r="E87" s="158">
        <v>0.5</v>
      </c>
      <c r="F87" s="158">
        <v>0.15</v>
      </c>
      <c r="G87" s="159">
        <f>(D87*E87*F87)</f>
        <v>0.6</v>
      </c>
      <c r="I87" s="3">
        <v>4915768</v>
      </c>
    </row>
    <row r="88" spans="1:9" x14ac:dyDescent="0.25">
      <c r="A88" s="157"/>
      <c r="B88" s="158" t="s">
        <v>639</v>
      </c>
      <c r="C88" s="158" t="s">
        <v>114</v>
      </c>
      <c r="D88" s="158">
        <v>8</v>
      </c>
      <c r="E88" s="158">
        <v>0.15</v>
      </c>
      <c r="F88" s="158"/>
      <c r="G88" s="159">
        <f>D88*2*E88</f>
        <v>2.4</v>
      </c>
      <c r="I88" s="3"/>
    </row>
    <row r="89" spans="1:9" x14ac:dyDescent="0.25">
      <c r="A89" s="157" t="s">
        <v>347</v>
      </c>
      <c r="B89" s="158" t="s">
        <v>348</v>
      </c>
      <c r="C89" s="158" t="s">
        <v>96</v>
      </c>
      <c r="D89" s="158">
        <v>5.7</v>
      </c>
      <c r="E89" s="158">
        <v>0.5</v>
      </c>
      <c r="F89" s="164">
        <v>0.5</v>
      </c>
      <c r="G89" s="159">
        <f>(D89*E89*F89)</f>
        <v>1.425</v>
      </c>
      <c r="I89" s="5" t="s">
        <v>33</v>
      </c>
    </row>
    <row r="90" spans="1:9" x14ac:dyDescent="0.25">
      <c r="A90" s="157" t="s">
        <v>349</v>
      </c>
      <c r="B90" s="158" t="s">
        <v>350</v>
      </c>
      <c r="C90" s="158" t="s">
        <v>114</v>
      </c>
      <c r="D90" s="158">
        <v>3</v>
      </c>
      <c r="E90" s="158">
        <v>3</v>
      </c>
      <c r="F90" s="158"/>
      <c r="G90" s="159">
        <f>(D90*E90)</f>
        <v>9</v>
      </c>
      <c r="I90" s="5">
        <v>1106165</v>
      </c>
    </row>
    <row r="91" spans="1:9" x14ac:dyDescent="0.25">
      <c r="A91" s="157"/>
      <c r="B91" s="158" t="s">
        <v>492</v>
      </c>
      <c r="C91" s="158" t="s">
        <v>491</v>
      </c>
      <c r="D91" s="158">
        <v>5</v>
      </c>
      <c r="E91" s="158"/>
      <c r="F91" s="158"/>
      <c r="G91" s="159">
        <f>D91</f>
        <v>5</v>
      </c>
      <c r="I91" s="3">
        <v>4915762</v>
      </c>
    </row>
    <row r="92" spans="1:9" x14ac:dyDescent="0.25">
      <c r="A92" s="157"/>
      <c r="B92" s="145" t="s">
        <v>23</v>
      </c>
      <c r="C92" s="158" t="s">
        <v>11</v>
      </c>
      <c r="D92" s="158">
        <v>10</v>
      </c>
      <c r="E92" s="158"/>
      <c r="F92" s="158"/>
      <c r="G92" s="159">
        <f>D92</f>
        <v>10</v>
      </c>
      <c r="I92" s="3"/>
    </row>
    <row r="93" spans="1:9" x14ac:dyDescent="0.25">
      <c r="A93" s="157" t="s">
        <v>351</v>
      </c>
      <c r="B93" s="158" t="s">
        <v>275</v>
      </c>
      <c r="C93" s="158"/>
      <c r="D93" s="158"/>
      <c r="E93" s="158"/>
      <c r="F93" s="158"/>
      <c r="G93" s="159"/>
    </row>
    <row r="94" spans="1:9" x14ac:dyDescent="0.25">
      <c r="A94" s="157" t="s">
        <v>352</v>
      </c>
      <c r="B94" s="158" t="s">
        <v>353</v>
      </c>
      <c r="C94" s="158" t="s">
        <v>114</v>
      </c>
      <c r="D94" s="158">
        <v>6</v>
      </c>
      <c r="E94" s="158">
        <v>1.2</v>
      </c>
      <c r="F94" s="158"/>
      <c r="G94" s="159">
        <f>D94*E94</f>
        <v>7.1999999999999993</v>
      </c>
      <c r="I94" s="5" t="s">
        <v>31</v>
      </c>
    </row>
    <row r="95" spans="1:9" x14ac:dyDescent="0.25">
      <c r="A95" s="157" t="s">
        <v>464</v>
      </c>
      <c r="B95" s="158" t="s">
        <v>465</v>
      </c>
      <c r="C95" s="158" t="s">
        <v>96</v>
      </c>
      <c r="D95" s="158">
        <v>27</v>
      </c>
      <c r="E95" s="158">
        <v>5</v>
      </c>
      <c r="F95" s="158">
        <v>1.5</v>
      </c>
      <c r="G95" s="159">
        <f>D95*E95*F95</f>
        <v>202.5</v>
      </c>
      <c r="I95" s="5" t="s">
        <v>32</v>
      </c>
    </row>
    <row r="96" spans="1:9" x14ac:dyDescent="0.25">
      <c r="A96" s="157"/>
      <c r="B96" s="158" t="s">
        <v>492</v>
      </c>
      <c r="C96" s="158" t="s">
        <v>491</v>
      </c>
      <c r="D96" s="158">
        <v>4</v>
      </c>
      <c r="E96" s="158"/>
      <c r="F96" s="158"/>
      <c r="G96" s="159">
        <f>D96</f>
        <v>4</v>
      </c>
      <c r="I96" s="5" t="s">
        <v>27</v>
      </c>
    </row>
    <row r="97" spans="1:9" x14ac:dyDescent="0.25">
      <c r="A97" s="157"/>
      <c r="B97" s="158"/>
      <c r="C97" s="158"/>
      <c r="D97" s="158"/>
      <c r="E97" s="158"/>
      <c r="F97" s="158"/>
      <c r="G97" s="159"/>
      <c r="I97" s="5" t="s">
        <v>22</v>
      </c>
    </row>
    <row r="98" spans="1:9" x14ac:dyDescent="0.25">
      <c r="A98" s="157"/>
      <c r="B98" s="158"/>
      <c r="C98" s="158"/>
      <c r="D98" s="158"/>
      <c r="E98" s="158"/>
      <c r="F98" s="158"/>
      <c r="G98" s="159"/>
      <c r="I98" s="3">
        <v>4915768</v>
      </c>
    </row>
    <row r="99" spans="1:9" x14ac:dyDescent="0.25">
      <c r="A99" s="157"/>
      <c r="B99" s="158"/>
      <c r="C99" s="158"/>
      <c r="D99" s="158"/>
      <c r="E99" s="158"/>
      <c r="F99" s="158"/>
      <c r="G99" s="159"/>
    </row>
    <row r="100" spans="1:9" x14ac:dyDescent="0.25">
      <c r="A100" s="157"/>
      <c r="B100" s="158"/>
      <c r="C100" s="158"/>
      <c r="D100" s="158"/>
      <c r="E100" s="158"/>
      <c r="F100" s="158"/>
      <c r="G100" s="159"/>
    </row>
    <row r="101" spans="1:9" x14ac:dyDescent="0.25">
      <c r="A101" s="160">
        <v>9</v>
      </c>
      <c r="B101" s="161" t="s">
        <v>354</v>
      </c>
      <c r="C101" s="162" t="s">
        <v>355</v>
      </c>
      <c r="D101" s="161"/>
      <c r="E101" s="161"/>
      <c r="F101" s="161"/>
      <c r="G101" s="163"/>
    </row>
    <row r="102" spans="1:9" x14ac:dyDescent="0.25">
      <c r="A102" s="157" t="s">
        <v>356</v>
      </c>
      <c r="B102" s="158" t="s">
        <v>270</v>
      </c>
      <c r="C102" s="158"/>
      <c r="D102" s="158"/>
      <c r="E102" s="158"/>
      <c r="F102" s="158"/>
      <c r="G102" s="159"/>
      <c r="H102" s="145" t="s">
        <v>346</v>
      </c>
      <c r="I102" s="218">
        <v>1106057</v>
      </c>
    </row>
    <row r="103" spans="1:9" x14ac:dyDescent="0.25">
      <c r="A103" s="157" t="s">
        <v>357</v>
      </c>
      <c r="B103" s="158" t="s">
        <v>346</v>
      </c>
      <c r="C103" s="158" t="s">
        <v>96</v>
      </c>
      <c r="D103" s="158">
        <f>(3+6)</f>
        <v>9</v>
      </c>
      <c r="E103" s="158">
        <v>0.3</v>
      </c>
      <c r="F103" s="158">
        <v>0.2</v>
      </c>
      <c r="G103" s="159">
        <f>(D103*E103*F103)</f>
        <v>0.53999999999999992</v>
      </c>
      <c r="H103" s="145" t="s">
        <v>16</v>
      </c>
      <c r="I103" s="5" t="s">
        <v>22</v>
      </c>
    </row>
    <row r="104" spans="1:9" x14ac:dyDescent="0.25">
      <c r="A104" s="157" t="s">
        <v>358</v>
      </c>
      <c r="B104" s="158" t="s">
        <v>359</v>
      </c>
      <c r="C104" s="158" t="s">
        <v>114</v>
      </c>
      <c r="D104" s="158">
        <v>4</v>
      </c>
      <c r="E104" s="158">
        <v>1</v>
      </c>
      <c r="F104" s="164">
        <v>0.15</v>
      </c>
      <c r="G104" s="159">
        <f>(D104*E104)</f>
        <v>4</v>
      </c>
      <c r="H104" s="145" t="s">
        <v>20</v>
      </c>
      <c r="I104" s="3">
        <v>4915768</v>
      </c>
    </row>
    <row r="105" spans="1:9" x14ac:dyDescent="0.25">
      <c r="A105" s="157" t="s">
        <v>360</v>
      </c>
      <c r="B105" s="158" t="s">
        <v>350</v>
      </c>
      <c r="C105" s="158" t="s">
        <v>114</v>
      </c>
      <c r="D105" s="158">
        <v>4</v>
      </c>
      <c r="E105" s="158"/>
      <c r="F105" s="158"/>
      <c r="G105" s="159">
        <f>D105</f>
        <v>4</v>
      </c>
    </row>
    <row r="106" spans="1:9" x14ac:dyDescent="0.25">
      <c r="A106" s="157"/>
      <c r="B106" s="158"/>
      <c r="C106" s="158"/>
      <c r="D106" s="158"/>
      <c r="E106" s="158"/>
      <c r="F106" s="158"/>
      <c r="G106" s="159"/>
    </row>
    <row r="107" spans="1:9" x14ac:dyDescent="0.25">
      <c r="A107" s="157" t="s">
        <v>361</v>
      </c>
      <c r="B107" s="158" t="s">
        <v>275</v>
      </c>
      <c r="C107" s="158"/>
      <c r="D107" s="158"/>
      <c r="E107" s="158"/>
      <c r="F107" s="158"/>
      <c r="G107" s="159"/>
      <c r="H107" s="176" t="s">
        <v>16</v>
      </c>
      <c r="I107" s="5" t="s">
        <v>22</v>
      </c>
    </row>
    <row r="108" spans="1:9" x14ac:dyDescent="0.25">
      <c r="A108" s="157" t="s">
        <v>362</v>
      </c>
      <c r="B108" s="158" t="s">
        <v>363</v>
      </c>
      <c r="C108" s="158" t="s">
        <v>114</v>
      </c>
      <c r="D108" s="158">
        <v>5.7</v>
      </c>
      <c r="E108" s="158">
        <v>3.7</v>
      </c>
      <c r="F108" s="158"/>
      <c r="G108" s="159">
        <f>(D108*E108)</f>
        <v>21.090000000000003</v>
      </c>
      <c r="H108" s="176" t="s">
        <v>20</v>
      </c>
      <c r="I108" s="3">
        <v>4915768</v>
      </c>
    </row>
    <row r="109" spans="1:9" x14ac:dyDescent="0.25">
      <c r="A109" s="157"/>
      <c r="B109" s="158"/>
      <c r="C109" s="158"/>
      <c r="D109" s="158"/>
      <c r="E109" s="158"/>
      <c r="F109" s="158"/>
      <c r="G109" s="159"/>
    </row>
    <row r="110" spans="1:9" x14ac:dyDescent="0.25">
      <c r="A110" s="160">
        <v>10</v>
      </c>
      <c r="B110" s="161" t="s">
        <v>364</v>
      </c>
      <c r="C110" s="162" t="s">
        <v>365</v>
      </c>
      <c r="D110" s="161"/>
      <c r="E110" s="161"/>
      <c r="F110" s="161"/>
      <c r="G110" s="163"/>
    </row>
    <row r="111" spans="1:9" x14ac:dyDescent="0.25">
      <c r="A111" s="157" t="s">
        <v>366</v>
      </c>
      <c r="B111" s="158" t="s">
        <v>270</v>
      </c>
      <c r="C111" s="158"/>
      <c r="D111" s="158"/>
      <c r="E111" s="158"/>
      <c r="F111" s="158"/>
      <c r="G111" s="159"/>
      <c r="H111" s="145" t="s">
        <v>346</v>
      </c>
      <c r="I111" s="218">
        <v>1106057</v>
      </c>
    </row>
    <row r="112" spans="1:9" x14ac:dyDescent="0.25">
      <c r="A112" s="157" t="s">
        <v>367</v>
      </c>
      <c r="B112" s="158" t="s">
        <v>346</v>
      </c>
      <c r="C112" s="158" t="s">
        <v>96</v>
      </c>
      <c r="D112" s="158">
        <f>(2.6+1)</f>
        <v>3.6</v>
      </c>
      <c r="E112" s="158">
        <v>0.5</v>
      </c>
      <c r="F112" s="158">
        <v>0.5</v>
      </c>
      <c r="G112" s="159">
        <f>(D112*E112*F112)</f>
        <v>0.9</v>
      </c>
      <c r="I112" s="5" t="s">
        <v>22</v>
      </c>
    </row>
    <row r="113" spans="1:9" x14ac:dyDescent="0.25">
      <c r="A113" s="157"/>
      <c r="B113" s="158" t="s">
        <v>492</v>
      </c>
      <c r="C113" s="158" t="s">
        <v>491</v>
      </c>
      <c r="D113" s="158">
        <v>4</v>
      </c>
      <c r="E113" s="158"/>
      <c r="F113" s="158"/>
      <c r="G113" s="159">
        <f>D113</f>
        <v>4</v>
      </c>
      <c r="I113" s="3">
        <v>4915768</v>
      </c>
    </row>
    <row r="114" spans="1:9" x14ac:dyDescent="0.25">
      <c r="A114" s="157" t="s">
        <v>368</v>
      </c>
      <c r="B114" s="158" t="s">
        <v>275</v>
      </c>
      <c r="C114" s="158"/>
      <c r="D114" s="158"/>
      <c r="E114" s="158"/>
      <c r="F114" s="158"/>
      <c r="G114" s="159"/>
    </row>
    <row r="115" spans="1:9" x14ac:dyDescent="0.25">
      <c r="A115" s="157"/>
      <c r="B115" s="158" t="s">
        <v>341</v>
      </c>
      <c r="C115" s="158"/>
      <c r="D115" s="158"/>
      <c r="E115" s="158"/>
      <c r="F115" s="158"/>
      <c r="G115" s="159"/>
    </row>
    <row r="116" spans="1:9" x14ac:dyDescent="0.25">
      <c r="A116" s="157"/>
      <c r="B116" s="158"/>
      <c r="C116" s="158"/>
      <c r="D116" s="158"/>
      <c r="E116" s="158"/>
      <c r="F116" s="158"/>
      <c r="G116" s="159"/>
    </row>
    <row r="117" spans="1:9" x14ac:dyDescent="0.25">
      <c r="A117" s="160">
        <v>11</v>
      </c>
      <c r="B117" s="161" t="s">
        <v>369</v>
      </c>
      <c r="C117" s="162" t="s">
        <v>370</v>
      </c>
      <c r="D117" s="161"/>
      <c r="E117" s="161"/>
      <c r="F117" s="161"/>
      <c r="G117" s="163"/>
    </row>
    <row r="118" spans="1:9" x14ac:dyDescent="0.25">
      <c r="A118" s="157" t="s">
        <v>371</v>
      </c>
      <c r="B118" s="158" t="s">
        <v>270</v>
      </c>
      <c r="C118" s="158"/>
      <c r="D118" s="158"/>
      <c r="E118" s="158"/>
      <c r="F118" s="158"/>
      <c r="G118" s="159"/>
    </row>
    <row r="119" spans="1:9" x14ac:dyDescent="0.25">
      <c r="A119" s="157" t="s">
        <v>372</v>
      </c>
      <c r="B119" s="158" t="s">
        <v>373</v>
      </c>
      <c r="C119" s="158" t="s">
        <v>96</v>
      </c>
      <c r="D119" s="158">
        <v>1.3</v>
      </c>
      <c r="E119" s="158">
        <f>((0.9+0.25)/2)</f>
        <v>0.57499999999999996</v>
      </c>
      <c r="F119" s="158">
        <v>76</v>
      </c>
      <c r="G119" s="159">
        <f>(D119*E119*F119)</f>
        <v>56.809999999999995</v>
      </c>
      <c r="H119" s="145" t="s">
        <v>467</v>
      </c>
      <c r="I119" s="218">
        <v>4915712</v>
      </c>
    </row>
    <row r="120" spans="1:9" x14ac:dyDescent="0.25">
      <c r="A120" s="157" t="s">
        <v>374</v>
      </c>
      <c r="B120" s="158" t="s">
        <v>375</v>
      </c>
      <c r="C120" s="158" t="s">
        <v>114</v>
      </c>
      <c r="D120" s="158">
        <f>((1.3+6)/2)</f>
        <v>3.65</v>
      </c>
      <c r="E120" s="158">
        <v>4</v>
      </c>
      <c r="F120" s="164">
        <v>0.8</v>
      </c>
      <c r="G120" s="159">
        <f>(D120*E120)</f>
        <v>14.6</v>
      </c>
      <c r="H120" s="145" t="s">
        <v>16</v>
      </c>
      <c r="I120" s="5" t="s">
        <v>22</v>
      </c>
    </row>
    <row r="121" spans="1:9" x14ac:dyDescent="0.25">
      <c r="A121" s="157"/>
      <c r="B121" s="158"/>
      <c r="C121" s="158"/>
      <c r="D121" s="158"/>
      <c r="E121" s="158"/>
      <c r="F121" s="158"/>
      <c r="G121" s="159"/>
    </row>
    <row r="122" spans="1:9" x14ac:dyDescent="0.25">
      <c r="A122" s="157" t="s">
        <v>376</v>
      </c>
      <c r="B122" s="158" t="s">
        <v>275</v>
      </c>
      <c r="C122" s="158"/>
      <c r="D122" s="158"/>
      <c r="E122" s="158"/>
      <c r="F122" s="158"/>
      <c r="G122" s="159"/>
    </row>
    <row r="123" spans="1:9" x14ac:dyDescent="0.25">
      <c r="A123" s="157" t="s">
        <v>377</v>
      </c>
      <c r="B123" s="158" t="s">
        <v>378</v>
      </c>
      <c r="C123" s="158" t="s">
        <v>96</v>
      </c>
      <c r="D123" s="158">
        <v>1.3</v>
      </c>
      <c r="E123" s="158">
        <v>0.2</v>
      </c>
      <c r="F123" s="158">
        <v>4</v>
      </c>
      <c r="G123" s="159">
        <f>(D123*F123)</f>
        <v>5.2</v>
      </c>
      <c r="I123" s="3">
        <v>4800412</v>
      </c>
    </row>
    <row r="124" spans="1:9" x14ac:dyDescent="0.25">
      <c r="A124" s="157"/>
      <c r="B124" s="158"/>
      <c r="C124" s="158"/>
      <c r="D124" s="158"/>
      <c r="E124" s="158"/>
      <c r="F124" s="158"/>
      <c r="G124" s="159"/>
    </row>
    <row r="125" spans="1:9" x14ac:dyDescent="0.25">
      <c r="A125" s="160">
        <v>12</v>
      </c>
      <c r="B125" s="161" t="s">
        <v>379</v>
      </c>
      <c r="C125" s="162" t="s">
        <v>380</v>
      </c>
      <c r="D125" s="161"/>
      <c r="E125" s="161"/>
      <c r="F125" s="161"/>
      <c r="G125" s="163"/>
    </row>
    <row r="126" spans="1:9" x14ac:dyDescent="0.25">
      <c r="A126" s="157" t="s">
        <v>381</v>
      </c>
      <c r="B126" s="158" t="s">
        <v>270</v>
      </c>
      <c r="C126" s="158"/>
      <c r="D126" s="158"/>
      <c r="E126" s="158"/>
      <c r="F126" s="158"/>
      <c r="G126" s="159"/>
    </row>
    <row r="127" spans="1:9" x14ac:dyDescent="0.25">
      <c r="A127" s="157" t="s">
        <v>382</v>
      </c>
      <c r="B127" s="158" t="s">
        <v>383</v>
      </c>
      <c r="C127" s="158" t="s">
        <v>96</v>
      </c>
      <c r="D127" s="158">
        <v>9.5</v>
      </c>
      <c r="E127" s="158">
        <v>0.9</v>
      </c>
      <c r="F127" s="158"/>
      <c r="G127" s="159">
        <f>(D127*E127)</f>
        <v>8.5500000000000007</v>
      </c>
      <c r="H127" s="176" t="s">
        <v>16</v>
      </c>
      <c r="I127" s="5" t="s">
        <v>22</v>
      </c>
    </row>
    <row r="128" spans="1:9" x14ac:dyDescent="0.25">
      <c r="A128" s="157" t="s">
        <v>384</v>
      </c>
      <c r="B128" s="158" t="s">
        <v>385</v>
      </c>
      <c r="C128" s="158" t="s">
        <v>114</v>
      </c>
      <c r="D128" s="158">
        <v>9.5</v>
      </c>
      <c r="E128" s="158">
        <v>7.5</v>
      </c>
      <c r="F128" s="164"/>
      <c r="G128" s="159">
        <f>(D128*E128)</f>
        <v>71.25</v>
      </c>
      <c r="H128" s="176" t="s">
        <v>20</v>
      </c>
      <c r="I128" s="3">
        <v>4915768</v>
      </c>
    </row>
    <row r="129" spans="1:9" x14ac:dyDescent="0.25">
      <c r="A129" s="157"/>
      <c r="B129" s="158"/>
      <c r="C129" s="158"/>
      <c r="D129" s="158"/>
      <c r="E129" s="158"/>
      <c r="F129" s="158"/>
      <c r="G129" s="159"/>
    </row>
    <row r="130" spans="1:9" x14ac:dyDescent="0.25">
      <c r="A130" s="157" t="s">
        <v>386</v>
      </c>
      <c r="B130" s="158" t="s">
        <v>275</v>
      </c>
      <c r="C130" s="158"/>
      <c r="D130" s="158"/>
      <c r="E130" s="158"/>
      <c r="F130" s="158"/>
      <c r="G130" s="159"/>
    </row>
    <row r="131" spans="1:9" x14ac:dyDescent="0.25">
      <c r="A131" s="157" t="s">
        <v>387</v>
      </c>
      <c r="B131" s="158" t="s">
        <v>388</v>
      </c>
      <c r="C131" s="158" t="s">
        <v>114</v>
      </c>
      <c r="D131" s="158">
        <v>4.5</v>
      </c>
      <c r="E131" s="158">
        <v>8</v>
      </c>
      <c r="F131" s="158"/>
      <c r="G131" s="159">
        <f>D131*E131</f>
        <v>36</v>
      </c>
      <c r="H131" s="176" t="s">
        <v>16</v>
      </c>
      <c r="I131" s="5" t="s">
        <v>22</v>
      </c>
    </row>
    <row r="132" spans="1:9" x14ac:dyDescent="0.25">
      <c r="A132" s="157"/>
      <c r="B132" s="158" t="s">
        <v>492</v>
      </c>
      <c r="C132" s="158" t="s">
        <v>491</v>
      </c>
      <c r="D132" s="158">
        <v>4</v>
      </c>
      <c r="E132" s="158"/>
      <c r="F132" s="158"/>
      <c r="G132" s="159">
        <f>D132</f>
        <v>4</v>
      </c>
      <c r="H132" s="176" t="s">
        <v>20</v>
      </c>
      <c r="I132" s="3">
        <v>4915768</v>
      </c>
    </row>
    <row r="133" spans="1:9" x14ac:dyDescent="0.25">
      <c r="A133" s="160">
        <v>13</v>
      </c>
      <c r="B133" s="161" t="s">
        <v>389</v>
      </c>
      <c r="C133" s="162" t="s">
        <v>370</v>
      </c>
      <c r="D133" s="161"/>
      <c r="E133" s="161"/>
      <c r="F133" s="161"/>
      <c r="G133" s="163"/>
    </row>
    <row r="134" spans="1:9" x14ac:dyDescent="0.25">
      <c r="A134" s="157" t="s">
        <v>390</v>
      </c>
      <c r="B134" s="158" t="s">
        <v>270</v>
      </c>
      <c r="C134" s="158"/>
      <c r="D134" s="158"/>
      <c r="E134" s="158"/>
      <c r="F134" s="158"/>
      <c r="G134" s="159"/>
    </row>
    <row r="135" spans="1:9" x14ac:dyDescent="0.25">
      <c r="A135" s="157" t="s">
        <v>391</v>
      </c>
      <c r="B135" s="158" t="s">
        <v>392</v>
      </c>
      <c r="C135" s="158" t="s">
        <v>114</v>
      </c>
      <c r="D135" s="158">
        <f>((2+5.5)/2)</f>
        <v>3.75</v>
      </c>
      <c r="E135" s="158">
        <v>4.2</v>
      </c>
      <c r="F135" s="158"/>
      <c r="G135" s="159">
        <f>(D135*E135)</f>
        <v>15.75</v>
      </c>
      <c r="H135" s="145" t="s">
        <v>16</v>
      </c>
      <c r="I135" s="5" t="s">
        <v>22</v>
      </c>
    </row>
    <row r="136" spans="1:9" x14ac:dyDescent="0.25">
      <c r="A136" s="157" t="s">
        <v>393</v>
      </c>
      <c r="B136" s="158" t="s">
        <v>394</v>
      </c>
      <c r="C136" s="158" t="s">
        <v>96</v>
      </c>
      <c r="D136" s="158">
        <v>4</v>
      </c>
      <c r="E136" s="158">
        <v>0.2</v>
      </c>
      <c r="F136" s="164">
        <v>1</v>
      </c>
      <c r="G136" s="159">
        <f>(D136*E136*F136)</f>
        <v>0.8</v>
      </c>
      <c r="H136" s="145" t="s">
        <v>469</v>
      </c>
      <c r="I136" s="5" t="s">
        <v>468</v>
      </c>
    </row>
    <row r="137" spans="1:9" x14ac:dyDescent="0.25">
      <c r="A137" s="157" t="s">
        <v>395</v>
      </c>
      <c r="B137" s="158" t="s">
        <v>396</v>
      </c>
      <c r="C137" s="158" t="s">
        <v>114</v>
      </c>
      <c r="D137" s="158">
        <v>4</v>
      </c>
      <c r="E137" s="158">
        <v>1</v>
      </c>
      <c r="F137" s="158"/>
      <c r="G137" s="159">
        <f>(((D137*E137)))</f>
        <v>4</v>
      </c>
    </row>
    <row r="138" spans="1:9" x14ac:dyDescent="0.25">
      <c r="A138" s="157"/>
      <c r="B138" s="158"/>
      <c r="C138" s="158"/>
      <c r="D138" s="158"/>
      <c r="E138" s="158"/>
      <c r="F138" s="158"/>
      <c r="G138" s="159"/>
    </row>
    <row r="139" spans="1:9" x14ac:dyDescent="0.25">
      <c r="A139" s="157" t="s">
        <v>397</v>
      </c>
      <c r="B139" s="158" t="s">
        <v>275</v>
      </c>
      <c r="C139" s="158"/>
      <c r="D139" s="158"/>
      <c r="E139" s="158"/>
      <c r="F139" s="158"/>
      <c r="G139" s="159"/>
    </row>
    <row r="140" spans="1:9" x14ac:dyDescent="0.25">
      <c r="A140" s="157"/>
      <c r="B140" s="158" t="s">
        <v>341</v>
      </c>
      <c r="C140" s="158"/>
      <c r="D140" s="158"/>
      <c r="E140" s="158"/>
      <c r="F140" s="158"/>
      <c r="G140" s="159"/>
    </row>
    <row r="141" spans="1:9" x14ac:dyDescent="0.25">
      <c r="A141" s="157"/>
      <c r="B141" s="158"/>
      <c r="C141" s="158"/>
      <c r="D141" s="158"/>
      <c r="E141" s="158"/>
      <c r="F141" s="158"/>
      <c r="G141" s="159"/>
    </row>
    <row r="142" spans="1:9" x14ac:dyDescent="0.25">
      <c r="A142" s="160">
        <v>14</v>
      </c>
      <c r="B142" s="161" t="s">
        <v>398</v>
      </c>
      <c r="C142" s="162" t="s">
        <v>399</v>
      </c>
      <c r="D142" s="161"/>
      <c r="E142" s="161"/>
      <c r="F142" s="161"/>
      <c r="G142" s="163"/>
    </row>
    <row r="143" spans="1:9" x14ac:dyDescent="0.25">
      <c r="A143" s="157" t="s">
        <v>400</v>
      </c>
      <c r="B143" s="158" t="s">
        <v>270</v>
      </c>
      <c r="C143" s="158"/>
      <c r="D143" s="158"/>
      <c r="E143" s="158"/>
      <c r="F143" s="158"/>
      <c r="G143" s="159"/>
      <c r="H143" s="145" t="s">
        <v>28</v>
      </c>
      <c r="I143" s="5" t="s">
        <v>31</v>
      </c>
    </row>
    <row r="144" spans="1:9" x14ac:dyDescent="0.25">
      <c r="A144" s="157" t="s">
        <v>401</v>
      </c>
      <c r="B144" s="158" t="s">
        <v>402</v>
      </c>
      <c r="C144" s="158" t="s">
        <v>96</v>
      </c>
      <c r="D144" s="158">
        <f>(3*3)</f>
        <v>9</v>
      </c>
      <c r="E144" s="158">
        <f>(6.5*2)</f>
        <v>13</v>
      </c>
      <c r="F144" s="158">
        <v>0.6</v>
      </c>
      <c r="G144" s="159">
        <f>((D144+E144)*F144)</f>
        <v>13.2</v>
      </c>
      <c r="H144" s="145" t="s">
        <v>29</v>
      </c>
      <c r="I144" s="5" t="s">
        <v>32</v>
      </c>
    </row>
    <row r="145" spans="1:10" x14ac:dyDescent="0.25">
      <c r="A145" s="157" t="s">
        <v>403</v>
      </c>
      <c r="B145" s="158" t="s">
        <v>404</v>
      </c>
      <c r="C145" s="158" t="s">
        <v>96</v>
      </c>
      <c r="D145" s="158">
        <f>(3*3)</f>
        <v>9</v>
      </c>
      <c r="E145" s="158">
        <f>(6.5*2)</f>
        <v>13</v>
      </c>
      <c r="F145" s="158">
        <v>0.2</v>
      </c>
      <c r="G145" s="159">
        <f>((D145+E145)*F145)</f>
        <v>4.4000000000000004</v>
      </c>
      <c r="H145" s="145" t="s">
        <v>26</v>
      </c>
      <c r="I145" s="218">
        <v>4915774</v>
      </c>
    </row>
    <row r="146" spans="1:10" x14ac:dyDescent="0.25">
      <c r="A146" s="157" t="s">
        <v>405</v>
      </c>
      <c r="B146" s="158" t="s">
        <v>471</v>
      </c>
      <c r="C146" s="158" t="s">
        <v>96</v>
      </c>
      <c r="D146" s="158">
        <v>0.5</v>
      </c>
      <c r="E146" s="158">
        <v>0.5</v>
      </c>
      <c r="F146" s="158">
        <v>1</v>
      </c>
      <c r="G146" s="159">
        <f>(D146*E146*F146)</f>
        <v>0.25</v>
      </c>
      <c r="H146" s="179" t="s">
        <v>18</v>
      </c>
      <c r="I146" s="218">
        <v>1505878</v>
      </c>
    </row>
    <row r="147" spans="1:10" x14ac:dyDescent="0.25">
      <c r="A147" s="157" t="s">
        <v>407</v>
      </c>
      <c r="B147" s="158" t="s">
        <v>408</v>
      </c>
      <c r="C147" s="158" t="s">
        <v>96</v>
      </c>
      <c r="D147" s="158">
        <f>5.4+6</f>
        <v>11.4</v>
      </c>
      <c r="E147" s="158">
        <v>0.5</v>
      </c>
      <c r="F147" s="158">
        <v>0.1</v>
      </c>
      <c r="G147" s="159">
        <f>(D147+E147)*F147</f>
        <v>1.1900000000000002</v>
      </c>
      <c r="H147" s="145" t="s">
        <v>29</v>
      </c>
      <c r="I147" s="5" t="s">
        <v>32</v>
      </c>
    </row>
    <row r="148" spans="1:10" x14ac:dyDescent="0.25">
      <c r="A148" s="157" t="s">
        <v>409</v>
      </c>
      <c r="B148" s="158" t="s">
        <v>470</v>
      </c>
      <c r="C148" s="158" t="s">
        <v>96</v>
      </c>
      <c r="D148" s="158">
        <v>2.5</v>
      </c>
      <c r="E148" s="158">
        <v>3.5</v>
      </c>
      <c r="F148" s="158">
        <v>0.2</v>
      </c>
      <c r="G148" s="159">
        <f>(D148*E148*F148)</f>
        <v>1.75</v>
      </c>
      <c r="H148" s="179" t="s">
        <v>408</v>
      </c>
      <c r="I148" s="218">
        <v>1106057</v>
      </c>
    </row>
    <row r="149" spans="1:10" x14ac:dyDescent="0.25">
      <c r="A149" s="157" t="s">
        <v>410</v>
      </c>
      <c r="B149" s="158" t="s">
        <v>411</v>
      </c>
      <c r="C149" s="158" t="s">
        <v>96</v>
      </c>
      <c r="D149" s="158">
        <v>2.5</v>
      </c>
      <c r="E149" s="158">
        <v>3.5</v>
      </c>
      <c r="F149" s="158">
        <v>0.2</v>
      </c>
      <c r="G149" s="159">
        <f>(D149*E149*F149)</f>
        <v>1.75</v>
      </c>
      <c r="H149" s="179" t="s">
        <v>463</v>
      </c>
      <c r="I149" s="218">
        <v>1106165</v>
      </c>
    </row>
    <row r="150" spans="1:10" x14ac:dyDescent="0.25">
      <c r="A150" s="157" t="s">
        <v>412</v>
      </c>
      <c r="B150" s="158" t="s">
        <v>413</v>
      </c>
      <c r="C150" s="158" t="s">
        <v>96</v>
      </c>
      <c r="D150" s="158">
        <f>G148</f>
        <v>1.75</v>
      </c>
      <c r="E150" s="165">
        <v>0.6</v>
      </c>
      <c r="F150" s="158"/>
      <c r="G150" s="159">
        <f>(((D150*E150)+D150))</f>
        <v>2.8</v>
      </c>
      <c r="H150" s="179" t="s">
        <v>146</v>
      </c>
      <c r="I150" s="144">
        <v>1600989</v>
      </c>
    </row>
    <row r="151" spans="1:10" x14ac:dyDescent="0.25">
      <c r="A151" s="157"/>
      <c r="B151" s="158" t="s">
        <v>396</v>
      </c>
      <c r="C151" s="158" t="s">
        <v>114</v>
      </c>
      <c r="D151" s="158">
        <v>2.5</v>
      </c>
      <c r="E151" s="158">
        <v>3.5</v>
      </c>
      <c r="F151" s="158">
        <v>0.2</v>
      </c>
      <c r="G151" s="159">
        <f>(((D151+E151)*F151))</f>
        <v>1.2000000000000002</v>
      </c>
      <c r="H151" s="145" t="s">
        <v>29</v>
      </c>
      <c r="I151" s="5" t="s">
        <v>32</v>
      </c>
    </row>
    <row r="152" spans="1:10" x14ac:dyDescent="0.25">
      <c r="A152" s="157" t="s">
        <v>414</v>
      </c>
      <c r="B152" s="158" t="s">
        <v>275</v>
      </c>
      <c r="C152" s="158"/>
      <c r="D152" s="158"/>
      <c r="E152" s="158"/>
      <c r="F152" s="158"/>
      <c r="G152" s="159"/>
    </row>
    <row r="153" spans="1:10" x14ac:dyDescent="0.25">
      <c r="A153" s="157" t="s">
        <v>415</v>
      </c>
      <c r="B153" s="158" t="s">
        <v>416</v>
      </c>
      <c r="C153" s="158" t="s">
        <v>96</v>
      </c>
      <c r="D153" s="158">
        <v>0.6</v>
      </c>
      <c r="E153" s="158">
        <v>0.6</v>
      </c>
      <c r="F153" s="158">
        <v>0.2</v>
      </c>
      <c r="G153" s="159">
        <f>(D153*E153*F153)</f>
        <v>7.1999999999999995E-2</v>
      </c>
      <c r="H153" t="s">
        <v>34</v>
      </c>
      <c r="I153" t="s">
        <v>33</v>
      </c>
    </row>
    <row r="154" spans="1:10" x14ac:dyDescent="0.25">
      <c r="A154" s="157"/>
      <c r="B154" s="158" t="s">
        <v>396</v>
      </c>
      <c r="C154" s="158" t="s">
        <v>114</v>
      </c>
      <c r="D154" s="158">
        <v>0.6</v>
      </c>
      <c r="E154" s="158">
        <v>0.6</v>
      </c>
      <c r="F154" s="158">
        <v>0.2</v>
      </c>
      <c r="G154" s="159">
        <f>D154*F154</f>
        <v>0.12</v>
      </c>
    </row>
    <row r="155" spans="1:10" x14ac:dyDescent="0.25">
      <c r="A155" s="160">
        <v>15</v>
      </c>
      <c r="B155" s="161" t="s">
        <v>417</v>
      </c>
      <c r="C155" s="162" t="s">
        <v>418</v>
      </c>
      <c r="D155" s="161"/>
      <c r="E155" s="161"/>
      <c r="F155" s="161"/>
      <c r="G155" s="163"/>
    </row>
    <row r="156" spans="1:10" ht="15.75" x14ac:dyDescent="0.25">
      <c r="A156" s="157" t="s">
        <v>419</v>
      </c>
      <c r="B156" s="158" t="s">
        <v>270</v>
      </c>
      <c r="C156" s="158"/>
      <c r="D156" s="158"/>
      <c r="E156" s="158"/>
      <c r="F156" s="158"/>
      <c r="G156" s="159"/>
      <c r="H156" s="177" t="s">
        <v>463</v>
      </c>
      <c r="I156" s="5">
        <v>1106165</v>
      </c>
    </row>
    <row r="157" spans="1:10" x14ac:dyDescent="0.25">
      <c r="A157" s="157" t="s">
        <v>420</v>
      </c>
      <c r="B157" s="158" t="s">
        <v>406</v>
      </c>
      <c r="C157" s="158" t="s">
        <v>96</v>
      </c>
      <c r="D157" s="158">
        <v>0.7</v>
      </c>
      <c r="E157" s="158">
        <v>0.7</v>
      </c>
      <c r="F157" s="158">
        <v>1.5</v>
      </c>
      <c r="G157" s="159">
        <f>(D157*E157*F157)</f>
        <v>0.73499999999999988</v>
      </c>
      <c r="H157" s="145" t="s">
        <v>34</v>
      </c>
      <c r="I157" s="5" t="s">
        <v>33</v>
      </c>
    </row>
    <row r="158" spans="1:10" x14ac:dyDescent="0.25">
      <c r="A158" s="157" t="s">
        <v>421</v>
      </c>
      <c r="B158" s="158" t="s">
        <v>408</v>
      </c>
      <c r="C158" s="158" t="s">
        <v>96</v>
      </c>
      <c r="D158" s="158">
        <v>6</v>
      </c>
      <c r="E158" s="158">
        <v>0.6</v>
      </c>
      <c r="F158" s="158">
        <v>0.3</v>
      </c>
      <c r="G158" s="159">
        <f>(D158*E158*F158)</f>
        <v>1.0799999999999998</v>
      </c>
      <c r="H158" s="145" t="s">
        <v>20</v>
      </c>
      <c r="I158" s="3">
        <v>4915768</v>
      </c>
    </row>
    <row r="159" spans="1:10" x14ac:dyDescent="0.25">
      <c r="A159" s="157" t="s">
        <v>422</v>
      </c>
      <c r="B159" s="158" t="s">
        <v>423</v>
      </c>
      <c r="C159" s="158" t="s">
        <v>424</v>
      </c>
      <c r="D159" s="158">
        <v>20</v>
      </c>
      <c r="E159" s="158"/>
      <c r="F159" s="158"/>
      <c r="G159" s="159">
        <f>D159</f>
        <v>20</v>
      </c>
      <c r="H159" t="s">
        <v>15</v>
      </c>
      <c r="I159" t="s">
        <v>8</v>
      </c>
      <c r="J159" t="s">
        <v>425</v>
      </c>
    </row>
    <row r="160" spans="1:10" x14ac:dyDescent="0.25">
      <c r="A160" s="157" t="s">
        <v>426</v>
      </c>
      <c r="B160" s="158" t="s">
        <v>427</v>
      </c>
      <c r="C160" s="158" t="s">
        <v>264</v>
      </c>
      <c r="D160" s="158">
        <v>3</v>
      </c>
      <c r="E160" s="165"/>
      <c r="F160" s="158"/>
      <c r="G160" s="159">
        <f>D160</f>
        <v>3</v>
      </c>
      <c r="H160" t="s">
        <v>429</v>
      </c>
      <c r="I160" t="s">
        <v>428</v>
      </c>
      <c r="J160">
        <v>14.66</v>
      </c>
    </row>
    <row r="161" spans="1:9" x14ac:dyDescent="0.25">
      <c r="A161" s="157"/>
      <c r="B161" s="158" t="s">
        <v>396</v>
      </c>
      <c r="C161" s="158" t="s">
        <v>114</v>
      </c>
      <c r="D161" s="158">
        <v>6</v>
      </c>
      <c r="E161" s="158">
        <v>0.3</v>
      </c>
      <c r="F161" s="158"/>
      <c r="G161" s="159">
        <f>D161*2*E161</f>
        <v>3.5999999999999996</v>
      </c>
    </row>
    <row r="162" spans="1:9" x14ac:dyDescent="0.25">
      <c r="A162" s="157" t="s">
        <v>430</v>
      </c>
      <c r="B162" s="158" t="s">
        <v>275</v>
      </c>
      <c r="C162" s="158"/>
      <c r="D162" s="158"/>
      <c r="E162" s="158"/>
      <c r="F162" s="158"/>
      <c r="G162" s="159"/>
    </row>
    <row r="163" spans="1:9" x14ac:dyDescent="0.25">
      <c r="A163" s="157" t="s">
        <v>431</v>
      </c>
      <c r="B163" s="158" t="s">
        <v>432</v>
      </c>
      <c r="C163" s="158" t="s">
        <v>433</v>
      </c>
      <c r="D163" s="158">
        <v>2</v>
      </c>
      <c r="E163" s="158"/>
      <c r="F163" s="158"/>
      <c r="G163" s="159">
        <f>D163</f>
        <v>2</v>
      </c>
      <c r="H163" s="176" t="s">
        <v>20</v>
      </c>
      <c r="I163" s="3">
        <v>98529</v>
      </c>
    </row>
    <row r="164" spans="1:9" x14ac:dyDescent="0.25">
      <c r="A164" s="157"/>
      <c r="B164" s="158"/>
      <c r="C164" s="158"/>
      <c r="D164" s="158"/>
      <c r="E164" s="158"/>
      <c r="F164" s="158"/>
      <c r="G164" s="159"/>
    </row>
    <row r="165" spans="1:9" x14ac:dyDescent="0.25">
      <c r="A165" s="160">
        <v>16</v>
      </c>
      <c r="B165" s="161" t="s">
        <v>434</v>
      </c>
      <c r="C165" s="162" t="s">
        <v>418</v>
      </c>
      <c r="D165" s="161"/>
      <c r="E165" s="161"/>
      <c r="F165" s="161"/>
      <c r="G165" s="163"/>
    </row>
    <row r="166" spans="1:9" x14ac:dyDescent="0.25">
      <c r="A166" s="157" t="s">
        <v>435</v>
      </c>
      <c r="B166" s="158" t="s">
        <v>270</v>
      </c>
      <c r="C166" s="158"/>
      <c r="D166" s="158"/>
      <c r="E166" s="158"/>
      <c r="F166" s="158"/>
      <c r="G166" s="159"/>
    </row>
    <row r="167" spans="1:9" x14ac:dyDescent="0.25">
      <c r="A167" s="157" t="s">
        <v>436</v>
      </c>
      <c r="B167" s="158" t="s">
        <v>406</v>
      </c>
      <c r="C167" s="158" t="s">
        <v>96</v>
      </c>
      <c r="D167" s="158">
        <v>0.4</v>
      </c>
      <c r="E167" s="158">
        <v>0.4</v>
      </c>
      <c r="F167" s="158">
        <v>0.8</v>
      </c>
      <c r="G167" s="159">
        <f>(D167*E167*F167)</f>
        <v>0.12800000000000003</v>
      </c>
      <c r="H167" s="145" t="s">
        <v>406</v>
      </c>
      <c r="I167" s="218">
        <v>1106165</v>
      </c>
    </row>
    <row r="168" spans="1:9" x14ac:dyDescent="0.25">
      <c r="A168" s="157" t="s">
        <v>437</v>
      </c>
      <c r="B168" s="158" t="s">
        <v>438</v>
      </c>
      <c r="C168" s="158" t="s">
        <v>96</v>
      </c>
      <c r="D168" s="158">
        <v>6</v>
      </c>
      <c r="E168" s="158">
        <v>10</v>
      </c>
      <c r="F168" s="158">
        <v>0.4</v>
      </c>
      <c r="G168" s="159">
        <f>(D168*E168*F168)</f>
        <v>24</v>
      </c>
      <c r="H168" s="145" t="s">
        <v>20</v>
      </c>
      <c r="I168" s="3">
        <v>98529</v>
      </c>
    </row>
    <row r="169" spans="1:9" x14ac:dyDescent="0.25">
      <c r="A169" s="157"/>
      <c r="B169" s="158" t="s">
        <v>427</v>
      </c>
      <c r="C169" s="158" t="s">
        <v>264</v>
      </c>
      <c r="D169" s="158">
        <v>3</v>
      </c>
      <c r="E169" s="158"/>
      <c r="F169" s="158"/>
      <c r="G169" s="159">
        <f>D169</f>
        <v>3</v>
      </c>
    </row>
    <row r="170" spans="1:9" x14ac:dyDescent="0.25">
      <c r="A170" s="157" t="s">
        <v>439</v>
      </c>
      <c r="B170" s="158" t="s">
        <v>275</v>
      </c>
      <c r="C170" s="158"/>
      <c r="D170" s="158"/>
      <c r="E170" s="158"/>
      <c r="F170" s="158"/>
      <c r="G170" s="159"/>
    </row>
    <row r="171" spans="1:9" x14ac:dyDescent="0.25">
      <c r="A171" s="157" t="s">
        <v>440</v>
      </c>
      <c r="B171" s="158" t="s">
        <v>441</v>
      </c>
      <c r="C171" s="158" t="s">
        <v>424</v>
      </c>
      <c r="D171" s="158">
        <v>15</v>
      </c>
      <c r="E171" s="158"/>
      <c r="F171" s="158"/>
      <c r="G171" s="159">
        <f>D171</f>
        <v>15</v>
      </c>
      <c r="H171" s="176" t="s">
        <v>20</v>
      </c>
      <c r="I171" s="3">
        <v>98529</v>
      </c>
    </row>
    <row r="172" spans="1:9" x14ac:dyDescent="0.25">
      <c r="A172" s="157" t="s">
        <v>442</v>
      </c>
      <c r="B172" s="158" t="s">
        <v>416</v>
      </c>
      <c r="C172" s="158" t="s">
        <v>96</v>
      </c>
      <c r="D172" s="158">
        <v>0.9</v>
      </c>
      <c r="E172" s="158">
        <v>0.9</v>
      </c>
      <c r="F172" s="158">
        <v>0.15</v>
      </c>
      <c r="G172" s="159">
        <f>D172*E172*F172</f>
        <v>0.1215</v>
      </c>
      <c r="H172" s="176" t="s">
        <v>472</v>
      </c>
      <c r="I172" s="5" t="s">
        <v>473</v>
      </c>
    </row>
    <row r="173" spans="1:9" x14ac:dyDescent="0.25">
      <c r="A173" s="157"/>
      <c r="B173" s="158" t="s">
        <v>427</v>
      </c>
      <c r="C173" s="158" t="s">
        <v>264</v>
      </c>
      <c r="D173" s="158">
        <v>3</v>
      </c>
      <c r="E173" s="158"/>
      <c r="F173" s="158"/>
      <c r="G173" s="159">
        <f>D173</f>
        <v>3</v>
      </c>
      <c r="H173" s="145" t="s">
        <v>416</v>
      </c>
      <c r="I173" s="51">
        <v>1106057</v>
      </c>
    </row>
    <row r="174" spans="1:9" x14ac:dyDescent="0.25">
      <c r="A174" s="160">
        <v>17</v>
      </c>
      <c r="B174" s="161" t="s">
        <v>443</v>
      </c>
      <c r="C174" s="162" t="s">
        <v>418</v>
      </c>
      <c r="D174" s="161"/>
      <c r="E174" s="161"/>
      <c r="F174" s="161"/>
      <c r="G174" s="163"/>
    </row>
    <row r="175" spans="1:9" x14ac:dyDescent="0.25">
      <c r="A175" s="157" t="s">
        <v>444</v>
      </c>
      <c r="B175" s="158" t="s">
        <v>270</v>
      </c>
      <c r="C175" s="158"/>
      <c r="D175" s="158"/>
      <c r="E175" s="158"/>
      <c r="F175" s="158"/>
      <c r="G175" s="159"/>
    </row>
    <row r="176" spans="1:9" x14ac:dyDescent="0.25">
      <c r="A176" s="157" t="s">
        <v>445</v>
      </c>
      <c r="B176" s="158" t="s">
        <v>406</v>
      </c>
      <c r="C176" s="158" t="s">
        <v>96</v>
      </c>
      <c r="D176" s="158">
        <v>0.4</v>
      </c>
      <c r="E176" s="158">
        <v>0.4</v>
      </c>
      <c r="F176" s="158">
        <v>0.5</v>
      </c>
      <c r="G176" s="159">
        <f>(D176*E176*F176)</f>
        <v>8.0000000000000016E-2</v>
      </c>
      <c r="H176" s="145" t="s">
        <v>16</v>
      </c>
      <c r="I176" s="5" t="s">
        <v>22</v>
      </c>
    </row>
    <row r="177" spans="1:9" x14ac:dyDescent="0.25">
      <c r="A177" s="157" t="s">
        <v>446</v>
      </c>
      <c r="B177" s="158" t="s">
        <v>406</v>
      </c>
      <c r="C177" s="158" t="s">
        <v>96</v>
      </c>
      <c r="D177" s="158">
        <v>5</v>
      </c>
      <c r="E177" s="158">
        <v>0.6</v>
      </c>
      <c r="F177" s="158">
        <v>0.3</v>
      </c>
      <c r="G177" s="159">
        <f>(D177*E177*F177)</f>
        <v>0.89999999999999991</v>
      </c>
      <c r="H177" s="145" t="s">
        <v>20</v>
      </c>
      <c r="I177" s="3">
        <v>98529</v>
      </c>
    </row>
    <row r="178" spans="1:9" x14ac:dyDescent="0.25">
      <c r="A178" s="157" t="s">
        <v>447</v>
      </c>
      <c r="B178" s="158" t="s">
        <v>423</v>
      </c>
      <c r="C178" s="158" t="s">
        <v>424</v>
      </c>
      <c r="D178" s="158">
        <v>6</v>
      </c>
      <c r="E178" s="158">
        <v>6</v>
      </c>
      <c r="F178" s="158">
        <v>3</v>
      </c>
      <c r="G178" s="159">
        <f>D178+E178+F178</f>
        <v>15</v>
      </c>
      <c r="H178" s="145" t="s">
        <v>406</v>
      </c>
      <c r="I178" s="3">
        <v>1106165</v>
      </c>
    </row>
    <row r="179" spans="1:9" x14ac:dyDescent="0.25">
      <c r="A179" s="157" t="s">
        <v>448</v>
      </c>
      <c r="B179" s="158" t="s">
        <v>449</v>
      </c>
      <c r="C179" s="158" t="s">
        <v>114</v>
      </c>
      <c r="D179" s="158">
        <v>5.3</v>
      </c>
      <c r="E179" s="158">
        <v>6</v>
      </c>
      <c r="F179" s="158"/>
      <c r="G179" s="159">
        <f>D179*E179</f>
        <v>31.799999999999997</v>
      </c>
      <c r="H179" s="145" t="s">
        <v>472</v>
      </c>
      <c r="I179" s="5" t="s">
        <v>473</v>
      </c>
    </row>
    <row r="180" spans="1:9" x14ac:dyDescent="0.25">
      <c r="A180" s="157" t="s">
        <v>450</v>
      </c>
      <c r="B180" s="158" t="s">
        <v>427</v>
      </c>
      <c r="C180" s="158" t="s">
        <v>264</v>
      </c>
      <c r="D180" s="158">
        <v>4</v>
      </c>
      <c r="E180" s="158"/>
      <c r="F180" s="158"/>
      <c r="G180" s="159">
        <f>D180</f>
        <v>4</v>
      </c>
    </row>
    <row r="181" spans="1:9" x14ac:dyDescent="0.25">
      <c r="A181" s="157"/>
      <c r="B181" s="158"/>
      <c r="C181" s="158"/>
      <c r="D181" s="158"/>
      <c r="E181" s="158"/>
      <c r="F181" s="158"/>
      <c r="G181" s="159"/>
    </row>
    <row r="182" spans="1:9" x14ac:dyDescent="0.25">
      <c r="A182" s="157" t="s">
        <v>451</v>
      </c>
      <c r="B182" s="158" t="s">
        <v>275</v>
      </c>
      <c r="C182" s="158"/>
      <c r="D182" s="158"/>
      <c r="E182" s="158"/>
      <c r="F182" s="158"/>
      <c r="G182" s="159"/>
    </row>
    <row r="183" spans="1:9" x14ac:dyDescent="0.25">
      <c r="A183" s="157" t="s">
        <v>452</v>
      </c>
      <c r="B183" s="158" t="s">
        <v>432</v>
      </c>
      <c r="C183" s="158" t="s">
        <v>264</v>
      </c>
      <c r="D183" s="158">
        <v>2</v>
      </c>
      <c r="E183" s="158"/>
      <c r="F183" s="158"/>
      <c r="G183" s="159">
        <f>D183</f>
        <v>2</v>
      </c>
      <c r="H183" s="176" t="s">
        <v>20</v>
      </c>
      <c r="I183" s="3">
        <v>98529</v>
      </c>
    </row>
    <row r="184" spans="1:9" x14ac:dyDescent="0.25">
      <c r="A184" s="157"/>
      <c r="B184" s="158"/>
      <c r="C184" s="158"/>
      <c r="D184" s="158"/>
      <c r="E184" s="158"/>
      <c r="F184" s="158"/>
      <c r="G184" s="159"/>
    </row>
    <row r="185" spans="1:9" x14ac:dyDescent="0.25">
      <c r="A185" s="363" t="s">
        <v>659</v>
      </c>
      <c r="B185" s="363"/>
      <c r="C185" s="363"/>
      <c r="D185" s="363"/>
      <c r="E185" s="363"/>
      <c r="F185" s="363"/>
      <c r="G185" s="363"/>
    </row>
    <row r="186" spans="1:9" x14ac:dyDescent="0.25">
      <c r="A186" s="364" t="s">
        <v>660</v>
      </c>
      <c r="B186" s="365"/>
      <c r="C186" s="365"/>
      <c r="D186" s="365"/>
      <c r="E186" s="365"/>
      <c r="F186" s="365"/>
      <c r="G186" s="366"/>
      <c r="H186" s="362" t="s">
        <v>8</v>
      </c>
    </row>
    <row r="187" spans="1:9" x14ac:dyDescent="0.25">
      <c r="A187" s="190">
        <v>1</v>
      </c>
      <c r="B187" s="194" t="s">
        <v>42</v>
      </c>
      <c r="C187" s="191" t="s">
        <v>9</v>
      </c>
      <c r="D187" s="158">
        <v>3</v>
      </c>
      <c r="E187" s="158">
        <v>3</v>
      </c>
      <c r="F187" s="158">
        <v>1</v>
      </c>
      <c r="G187" s="367">
        <f>3*3*1</f>
        <v>9</v>
      </c>
      <c r="H187" s="145">
        <v>4805760</v>
      </c>
    </row>
    <row r="188" spans="1:9" x14ac:dyDescent="0.25">
      <c r="A188" s="190">
        <v>2</v>
      </c>
      <c r="B188" s="194" t="s">
        <v>20</v>
      </c>
      <c r="C188" s="191" t="s">
        <v>264</v>
      </c>
      <c r="D188" s="158">
        <v>7</v>
      </c>
      <c r="E188" s="158"/>
      <c r="F188" s="158"/>
      <c r="G188" s="367">
        <v>7</v>
      </c>
      <c r="H188" s="145">
        <v>98529</v>
      </c>
    </row>
    <row r="189" spans="1:9" x14ac:dyDescent="0.25">
      <c r="A189" s="190">
        <v>2</v>
      </c>
      <c r="B189" s="368" t="s">
        <v>41</v>
      </c>
      <c r="C189" s="191" t="s">
        <v>9</v>
      </c>
      <c r="D189" s="158">
        <v>3</v>
      </c>
      <c r="E189" s="158">
        <v>3</v>
      </c>
      <c r="F189" s="158">
        <v>1</v>
      </c>
      <c r="G189" s="367">
        <f>G187</f>
        <v>9</v>
      </c>
      <c r="H189" s="145">
        <v>4805750</v>
      </c>
    </row>
    <row r="190" spans="1:9" x14ac:dyDescent="0.25">
      <c r="A190" s="190">
        <v>3</v>
      </c>
      <c r="B190" s="194" t="s">
        <v>42</v>
      </c>
      <c r="C190" s="191" t="s">
        <v>9</v>
      </c>
      <c r="D190" s="158">
        <v>3</v>
      </c>
      <c r="E190" s="158">
        <v>3</v>
      </c>
      <c r="F190" s="158">
        <v>1</v>
      </c>
      <c r="G190" s="367">
        <f>3*3*1</f>
        <v>9</v>
      </c>
      <c r="H190" s="145">
        <v>4805760</v>
      </c>
    </row>
    <row r="191" spans="1:9" x14ac:dyDescent="0.25">
      <c r="A191" s="190">
        <v>4</v>
      </c>
      <c r="B191" s="368" t="s">
        <v>41</v>
      </c>
      <c r="C191" s="191" t="s">
        <v>9</v>
      </c>
      <c r="D191" s="158">
        <v>2.5</v>
      </c>
      <c r="E191" s="158">
        <v>2.5</v>
      </c>
      <c r="F191" s="158">
        <v>1</v>
      </c>
      <c r="G191" s="367">
        <f>2.5*2.5*1</f>
        <v>6.25</v>
      </c>
      <c r="H191" s="145">
        <v>4805750</v>
      </c>
    </row>
    <row r="192" spans="1:9" ht="15.75" x14ac:dyDescent="0.25">
      <c r="A192" s="190">
        <v>4</v>
      </c>
      <c r="B192" s="369" t="s">
        <v>40</v>
      </c>
      <c r="C192" s="191" t="s">
        <v>9</v>
      </c>
      <c r="D192" s="158">
        <v>2.5</v>
      </c>
      <c r="E192" s="158">
        <v>2.5</v>
      </c>
      <c r="F192" s="158">
        <v>1</v>
      </c>
      <c r="G192" s="367">
        <f>G191</f>
        <v>6.25</v>
      </c>
      <c r="H192" s="177">
        <v>4805751</v>
      </c>
    </row>
    <row r="193" spans="1:8" x14ac:dyDescent="0.25">
      <c r="A193" s="190" t="s">
        <v>44</v>
      </c>
      <c r="B193" s="194" t="s">
        <v>20</v>
      </c>
      <c r="C193" s="191" t="s">
        <v>264</v>
      </c>
      <c r="D193" s="158">
        <v>6</v>
      </c>
      <c r="E193" s="158"/>
      <c r="F193" s="158"/>
      <c r="G193" s="367">
        <f>D193</f>
        <v>6</v>
      </c>
      <c r="H193" s="145">
        <v>98529</v>
      </c>
    </row>
    <row r="194" spans="1:8" x14ac:dyDescent="0.25">
      <c r="A194" s="190"/>
      <c r="B194" s="368" t="s">
        <v>41</v>
      </c>
      <c r="C194" s="191" t="s">
        <v>9</v>
      </c>
      <c r="D194" s="158">
        <v>2.5</v>
      </c>
      <c r="E194" s="158">
        <v>2.5</v>
      </c>
      <c r="F194" s="158">
        <v>1</v>
      </c>
      <c r="G194" s="367">
        <f>2.5*2.5*1</f>
        <v>6.25</v>
      </c>
      <c r="H194" s="145">
        <v>4805750</v>
      </c>
    </row>
    <row r="195" spans="1:8" ht="15.75" x14ac:dyDescent="0.25">
      <c r="A195" s="190"/>
      <c r="B195" s="369" t="s">
        <v>40</v>
      </c>
      <c r="C195" s="191" t="s">
        <v>9</v>
      </c>
      <c r="D195" s="158">
        <v>2.5</v>
      </c>
      <c r="E195" s="158">
        <v>2.5</v>
      </c>
      <c r="F195" s="158">
        <v>1</v>
      </c>
      <c r="G195" s="367">
        <f>G194</f>
        <v>6.25</v>
      </c>
      <c r="H195" s="177">
        <v>4805751</v>
      </c>
    </row>
    <row r="196" spans="1:8" x14ac:dyDescent="0.25">
      <c r="A196" s="190" t="s">
        <v>45</v>
      </c>
      <c r="B196" s="194" t="s">
        <v>20</v>
      </c>
      <c r="C196" s="191" t="s">
        <v>264</v>
      </c>
      <c r="D196" s="158">
        <v>5</v>
      </c>
      <c r="E196" s="158"/>
      <c r="F196" s="158"/>
      <c r="G196" s="367">
        <f>D196</f>
        <v>5</v>
      </c>
      <c r="H196" s="145">
        <v>98529</v>
      </c>
    </row>
    <row r="197" spans="1:8" x14ac:dyDescent="0.25">
      <c r="A197" s="190"/>
      <c r="B197" s="368" t="s">
        <v>41</v>
      </c>
      <c r="C197" s="191" t="s">
        <v>9</v>
      </c>
      <c r="D197" s="158">
        <v>2.5</v>
      </c>
      <c r="E197" s="158">
        <v>2.5</v>
      </c>
      <c r="F197" s="158">
        <v>1</v>
      </c>
      <c r="G197" s="367">
        <f>2.5*2.5*1</f>
        <v>6.25</v>
      </c>
      <c r="H197" s="145">
        <v>4805750</v>
      </c>
    </row>
    <row r="198" spans="1:8" x14ac:dyDescent="0.25">
      <c r="A198" s="190">
        <v>6</v>
      </c>
      <c r="B198" s="368" t="s">
        <v>41</v>
      </c>
      <c r="C198" s="191" t="s">
        <v>9</v>
      </c>
      <c r="D198" s="158">
        <v>2.5</v>
      </c>
      <c r="E198" s="158">
        <v>2.5</v>
      </c>
      <c r="F198" s="158">
        <v>1</v>
      </c>
      <c r="G198" s="367">
        <f>2.5*2.5*1</f>
        <v>6.25</v>
      </c>
      <c r="H198" s="145">
        <v>4805750</v>
      </c>
    </row>
    <row r="199" spans="1:8" x14ac:dyDescent="0.25">
      <c r="A199" s="190">
        <v>7</v>
      </c>
      <c r="B199" s="368" t="s">
        <v>41</v>
      </c>
      <c r="C199" s="191" t="s">
        <v>9</v>
      </c>
      <c r="D199" s="158">
        <v>2.5</v>
      </c>
      <c r="E199" s="158">
        <v>2.5</v>
      </c>
      <c r="F199" s="158">
        <v>1</v>
      </c>
      <c r="G199" s="367">
        <f>G198</f>
        <v>6.25</v>
      </c>
      <c r="H199" s="145">
        <v>4805750</v>
      </c>
    </row>
    <row r="200" spans="1:8" x14ac:dyDescent="0.25">
      <c r="A200" s="190">
        <v>8</v>
      </c>
      <c r="B200" s="368" t="s">
        <v>41</v>
      </c>
      <c r="C200" s="191" t="s">
        <v>9</v>
      </c>
      <c r="D200" s="158">
        <v>2.5</v>
      </c>
      <c r="E200" s="158">
        <v>2.5</v>
      </c>
      <c r="F200" s="158">
        <v>1</v>
      </c>
      <c r="G200" s="367">
        <f>G199</f>
        <v>6.25</v>
      </c>
      <c r="H200" s="145">
        <v>4805750</v>
      </c>
    </row>
    <row r="201" spans="1:8" x14ac:dyDescent="0.25">
      <c r="A201" s="190">
        <v>9</v>
      </c>
      <c r="B201" s="368" t="s">
        <v>41</v>
      </c>
      <c r="C201" s="191" t="s">
        <v>9</v>
      </c>
      <c r="D201" s="158">
        <v>2.5</v>
      </c>
      <c r="E201" s="158">
        <v>2.5</v>
      </c>
      <c r="F201" s="158">
        <v>0.5</v>
      </c>
      <c r="G201" s="367">
        <f>2.5*2.5*0.5</f>
        <v>3.125</v>
      </c>
      <c r="H201" s="145">
        <v>4805750</v>
      </c>
    </row>
    <row r="202" spans="1:8" x14ac:dyDescent="0.25">
      <c r="A202" s="190">
        <v>10</v>
      </c>
      <c r="B202" s="194" t="s">
        <v>42</v>
      </c>
      <c r="C202" s="191" t="s">
        <v>9</v>
      </c>
      <c r="D202" s="158">
        <v>3</v>
      </c>
      <c r="E202" s="158">
        <v>3</v>
      </c>
      <c r="F202" s="158">
        <v>1</v>
      </c>
      <c r="G202" s="367">
        <f>G190</f>
        <v>9</v>
      </c>
      <c r="H202" s="145">
        <v>4805760</v>
      </c>
    </row>
    <row r="203" spans="1:8" ht="15.75" x14ac:dyDescent="0.25">
      <c r="A203" s="370"/>
      <c r="B203" s="371" t="s">
        <v>40</v>
      </c>
      <c r="C203" s="372" t="s">
        <v>9</v>
      </c>
      <c r="D203" s="373">
        <v>3</v>
      </c>
      <c r="E203" s="373">
        <v>3</v>
      </c>
      <c r="F203" s="373">
        <v>1</v>
      </c>
      <c r="G203" s="374">
        <f>G202</f>
        <v>9</v>
      </c>
      <c r="H203" s="177">
        <v>4805751</v>
      </c>
    </row>
    <row r="204" spans="1:8" x14ac:dyDescent="0.25">
      <c r="A204" s="375" t="s">
        <v>46</v>
      </c>
      <c r="B204" s="376"/>
      <c r="C204" s="376"/>
      <c r="D204" s="376"/>
      <c r="E204" s="376"/>
      <c r="F204" s="376"/>
      <c r="G204" s="377"/>
    </row>
    <row r="205" spans="1:8" ht="16.5" thickBot="1" x14ac:dyDescent="0.3">
      <c r="A205" s="378" t="s">
        <v>38</v>
      </c>
      <c r="B205" s="379" t="s">
        <v>12</v>
      </c>
      <c r="C205" s="201" t="s">
        <v>11</v>
      </c>
      <c r="D205" s="380">
        <f>2350*1.25</f>
        <v>2937.5</v>
      </c>
      <c r="E205" s="166"/>
      <c r="F205" s="166"/>
      <c r="G205" s="381">
        <f>D205</f>
        <v>2937.5</v>
      </c>
      <c r="H205" s="3" t="s">
        <v>663</v>
      </c>
    </row>
  </sheetData>
  <autoFilter ref="A6:H205" xr:uid="{CAE07984-3E52-4B3C-BC47-9D5EE3AF43F4}">
    <filterColumn colId="3" showButton="0"/>
    <filterColumn colId="4" showButton="0"/>
  </autoFilter>
  <mergeCells count="9">
    <mergeCell ref="A1:G1"/>
    <mergeCell ref="A2:G2"/>
    <mergeCell ref="A3:G3"/>
    <mergeCell ref="A4:G4"/>
    <mergeCell ref="A6:A7"/>
    <mergeCell ref="B6:B7"/>
    <mergeCell ref="C6:C7"/>
    <mergeCell ref="D6:F6"/>
    <mergeCell ref="G6:G7"/>
  </mergeCells>
  <phoneticPr fontId="4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4E60A-5BE7-40B0-9B50-9FB87377F720}">
  <sheetPr>
    <tabColor theme="4" tint="-0.249977111117893"/>
  </sheetPr>
  <dimension ref="A1:O40"/>
  <sheetViews>
    <sheetView workbookViewId="0">
      <selection sqref="A1:G1"/>
    </sheetView>
  </sheetViews>
  <sheetFormatPr defaultColWidth="9" defaultRowHeight="12.75" x14ac:dyDescent="0.2"/>
  <cols>
    <col min="1" max="1" width="15.42578125" style="52" customWidth="1"/>
    <col min="2" max="2" width="48.28515625" style="52" customWidth="1"/>
    <col min="3" max="3" width="9.5703125" style="52" bestFit="1" customWidth="1"/>
    <col min="4" max="11" width="9" style="52"/>
    <col min="12" max="12" width="10.42578125" style="52" customWidth="1"/>
    <col min="13" max="256" width="9" style="52"/>
    <col min="257" max="257" width="15.42578125" style="52" customWidth="1"/>
    <col min="258" max="258" width="48.28515625" style="52" customWidth="1"/>
    <col min="259" max="259" width="9.5703125" style="52" bestFit="1" customWidth="1"/>
    <col min="260" max="512" width="9" style="52"/>
    <col min="513" max="513" width="15.42578125" style="52" customWidth="1"/>
    <col min="514" max="514" width="48.28515625" style="52" customWidth="1"/>
    <col min="515" max="515" width="9.5703125" style="52" bestFit="1" customWidth="1"/>
    <col min="516" max="768" width="9" style="52"/>
    <col min="769" max="769" width="15.42578125" style="52" customWidth="1"/>
    <col min="770" max="770" width="48.28515625" style="52" customWidth="1"/>
    <col min="771" max="771" width="9.5703125" style="52" bestFit="1" customWidth="1"/>
    <col min="772" max="1024" width="9" style="52"/>
    <col min="1025" max="1025" width="15.42578125" style="52" customWidth="1"/>
    <col min="1026" max="1026" width="48.28515625" style="52" customWidth="1"/>
    <col min="1027" max="1027" width="9.5703125" style="52" bestFit="1" customWidth="1"/>
    <col min="1028" max="1280" width="9" style="52"/>
    <col min="1281" max="1281" width="15.42578125" style="52" customWidth="1"/>
    <col min="1282" max="1282" width="48.28515625" style="52" customWidth="1"/>
    <col min="1283" max="1283" width="9.5703125" style="52" bestFit="1" customWidth="1"/>
    <col min="1284" max="1536" width="9" style="52"/>
    <col min="1537" max="1537" width="15.42578125" style="52" customWidth="1"/>
    <col min="1538" max="1538" width="48.28515625" style="52" customWidth="1"/>
    <col min="1539" max="1539" width="9.5703125" style="52" bestFit="1" customWidth="1"/>
    <col min="1540" max="1792" width="9" style="52"/>
    <col min="1793" max="1793" width="15.42578125" style="52" customWidth="1"/>
    <col min="1794" max="1794" width="48.28515625" style="52" customWidth="1"/>
    <col min="1795" max="1795" width="9.5703125" style="52" bestFit="1" customWidth="1"/>
    <col min="1796" max="2048" width="9" style="52"/>
    <col min="2049" max="2049" width="15.42578125" style="52" customWidth="1"/>
    <col min="2050" max="2050" width="48.28515625" style="52" customWidth="1"/>
    <col min="2051" max="2051" width="9.5703125" style="52" bestFit="1" customWidth="1"/>
    <col min="2052" max="2304" width="9" style="52"/>
    <col min="2305" max="2305" width="15.42578125" style="52" customWidth="1"/>
    <col min="2306" max="2306" width="48.28515625" style="52" customWidth="1"/>
    <col min="2307" max="2307" width="9.5703125" style="52" bestFit="1" customWidth="1"/>
    <col min="2308" max="2560" width="9" style="52"/>
    <col min="2561" max="2561" width="15.42578125" style="52" customWidth="1"/>
    <col min="2562" max="2562" width="48.28515625" style="52" customWidth="1"/>
    <col min="2563" max="2563" width="9.5703125" style="52" bestFit="1" customWidth="1"/>
    <col min="2564" max="2816" width="9" style="52"/>
    <col min="2817" max="2817" width="15.42578125" style="52" customWidth="1"/>
    <col min="2818" max="2818" width="48.28515625" style="52" customWidth="1"/>
    <col min="2819" max="2819" width="9.5703125" style="52" bestFit="1" customWidth="1"/>
    <col min="2820" max="3072" width="9" style="52"/>
    <col min="3073" max="3073" width="15.42578125" style="52" customWidth="1"/>
    <col min="3074" max="3074" width="48.28515625" style="52" customWidth="1"/>
    <col min="3075" max="3075" width="9.5703125" style="52" bestFit="1" customWidth="1"/>
    <col min="3076" max="3328" width="9" style="52"/>
    <col min="3329" max="3329" width="15.42578125" style="52" customWidth="1"/>
    <col min="3330" max="3330" width="48.28515625" style="52" customWidth="1"/>
    <col min="3331" max="3331" width="9.5703125" style="52" bestFit="1" customWidth="1"/>
    <col min="3332" max="3584" width="9" style="52"/>
    <col min="3585" max="3585" width="15.42578125" style="52" customWidth="1"/>
    <col min="3586" max="3586" width="48.28515625" style="52" customWidth="1"/>
    <col min="3587" max="3587" width="9.5703125" style="52" bestFit="1" customWidth="1"/>
    <col min="3588" max="3840" width="9" style="52"/>
    <col min="3841" max="3841" width="15.42578125" style="52" customWidth="1"/>
    <col min="3842" max="3842" width="48.28515625" style="52" customWidth="1"/>
    <col min="3843" max="3843" width="9.5703125" style="52" bestFit="1" customWidth="1"/>
    <col min="3844" max="4096" width="9" style="52"/>
    <col min="4097" max="4097" width="15.42578125" style="52" customWidth="1"/>
    <col min="4098" max="4098" width="48.28515625" style="52" customWidth="1"/>
    <col min="4099" max="4099" width="9.5703125" style="52" bestFit="1" customWidth="1"/>
    <col min="4100" max="4352" width="9" style="52"/>
    <col min="4353" max="4353" width="15.42578125" style="52" customWidth="1"/>
    <col min="4354" max="4354" width="48.28515625" style="52" customWidth="1"/>
    <col min="4355" max="4355" width="9.5703125" style="52" bestFit="1" customWidth="1"/>
    <col min="4356" max="4608" width="9" style="52"/>
    <col min="4609" max="4609" width="15.42578125" style="52" customWidth="1"/>
    <col min="4610" max="4610" width="48.28515625" style="52" customWidth="1"/>
    <col min="4611" max="4611" width="9.5703125" style="52" bestFit="1" customWidth="1"/>
    <col min="4612" max="4864" width="9" style="52"/>
    <col min="4865" max="4865" width="15.42578125" style="52" customWidth="1"/>
    <col min="4866" max="4866" width="48.28515625" style="52" customWidth="1"/>
    <col min="4867" max="4867" width="9.5703125" style="52" bestFit="1" customWidth="1"/>
    <col min="4868" max="5120" width="9" style="52"/>
    <col min="5121" max="5121" width="15.42578125" style="52" customWidth="1"/>
    <col min="5122" max="5122" width="48.28515625" style="52" customWidth="1"/>
    <col min="5123" max="5123" width="9.5703125" style="52" bestFit="1" customWidth="1"/>
    <col min="5124" max="5376" width="9" style="52"/>
    <col min="5377" max="5377" width="15.42578125" style="52" customWidth="1"/>
    <col min="5378" max="5378" width="48.28515625" style="52" customWidth="1"/>
    <col min="5379" max="5379" width="9.5703125" style="52" bestFit="1" customWidth="1"/>
    <col min="5380" max="5632" width="9" style="52"/>
    <col min="5633" max="5633" width="15.42578125" style="52" customWidth="1"/>
    <col min="5634" max="5634" width="48.28515625" style="52" customWidth="1"/>
    <col min="5635" max="5635" width="9.5703125" style="52" bestFit="1" customWidth="1"/>
    <col min="5636" max="5888" width="9" style="52"/>
    <col min="5889" max="5889" width="15.42578125" style="52" customWidth="1"/>
    <col min="5890" max="5890" width="48.28515625" style="52" customWidth="1"/>
    <col min="5891" max="5891" width="9.5703125" style="52" bestFit="1" customWidth="1"/>
    <col min="5892" max="6144" width="9" style="52"/>
    <col min="6145" max="6145" width="15.42578125" style="52" customWidth="1"/>
    <col min="6146" max="6146" width="48.28515625" style="52" customWidth="1"/>
    <col min="6147" max="6147" width="9.5703125" style="52" bestFit="1" customWidth="1"/>
    <col min="6148" max="6400" width="9" style="52"/>
    <col min="6401" max="6401" width="15.42578125" style="52" customWidth="1"/>
    <col min="6402" max="6402" width="48.28515625" style="52" customWidth="1"/>
    <col min="6403" max="6403" width="9.5703125" style="52" bestFit="1" customWidth="1"/>
    <col min="6404" max="6656" width="9" style="52"/>
    <col min="6657" max="6657" width="15.42578125" style="52" customWidth="1"/>
    <col min="6658" max="6658" width="48.28515625" style="52" customWidth="1"/>
    <col min="6659" max="6659" width="9.5703125" style="52" bestFit="1" customWidth="1"/>
    <col min="6660" max="6912" width="9" style="52"/>
    <col min="6913" max="6913" width="15.42578125" style="52" customWidth="1"/>
    <col min="6914" max="6914" width="48.28515625" style="52" customWidth="1"/>
    <col min="6915" max="6915" width="9.5703125" style="52" bestFit="1" customWidth="1"/>
    <col min="6916" max="7168" width="9" style="52"/>
    <col min="7169" max="7169" width="15.42578125" style="52" customWidth="1"/>
    <col min="7170" max="7170" width="48.28515625" style="52" customWidth="1"/>
    <col min="7171" max="7171" width="9.5703125" style="52" bestFit="1" customWidth="1"/>
    <col min="7172" max="7424" width="9" style="52"/>
    <col min="7425" max="7425" width="15.42578125" style="52" customWidth="1"/>
    <col min="7426" max="7426" width="48.28515625" style="52" customWidth="1"/>
    <col min="7427" max="7427" width="9.5703125" style="52" bestFit="1" customWidth="1"/>
    <col min="7428" max="7680" width="9" style="52"/>
    <col min="7681" max="7681" width="15.42578125" style="52" customWidth="1"/>
    <col min="7682" max="7682" width="48.28515625" style="52" customWidth="1"/>
    <col min="7683" max="7683" width="9.5703125" style="52" bestFit="1" customWidth="1"/>
    <col min="7684" max="7936" width="9" style="52"/>
    <col min="7937" max="7937" width="15.42578125" style="52" customWidth="1"/>
    <col min="7938" max="7938" width="48.28515625" style="52" customWidth="1"/>
    <col min="7939" max="7939" width="9.5703125" style="52" bestFit="1" customWidth="1"/>
    <col min="7940" max="8192" width="9" style="52"/>
    <col min="8193" max="8193" width="15.42578125" style="52" customWidth="1"/>
    <col min="8194" max="8194" width="48.28515625" style="52" customWidth="1"/>
    <col min="8195" max="8195" width="9.5703125" style="52" bestFit="1" customWidth="1"/>
    <col min="8196" max="8448" width="9" style="52"/>
    <col min="8449" max="8449" width="15.42578125" style="52" customWidth="1"/>
    <col min="8450" max="8450" width="48.28515625" style="52" customWidth="1"/>
    <col min="8451" max="8451" width="9.5703125" style="52" bestFit="1" customWidth="1"/>
    <col min="8452" max="8704" width="9" style="52"/>
    <col min="8705" max="8705" width="15.42578125" style="52" customWidth="1"/>
    <col min="8706" max="8706" width="48.28515625" style="52" customWidth="1"/>
    <col min="8707" max="8707" width="9.5703125" style="52" bestFit="1" customWidth="1"/>
    <col min="8708" max="8960" width="9" style="52"/>
    <col min="8961" max="8961" width="15.42578125" style="52" customWidth="1"/>
    <col min="8962" max="8962" width="48.28515625" style="52" customWidth="1"/>
    <col min="8963" max="8963" width="9.5703125" style="52" bestFit="1" customWidth="1"/>
    <col min="8964" max="9216" width="9" style="52"/>
    <col min="9217" max="9217" width="15.42578125" style="52" customWidth="1"/>
    <col min="9218" max="9218" width="48.28515625" style="52" customWidth="1"/>
    <col min="9219" max="9219" width="9.5703125" style="52" bestFit="1" customWidth="1"/>
    <col min="9220" max="9472" width="9" style="52"/>
    <col min="9473" max="9473" width="15.42578125" style="52" customWidth="1"/>
    <col min="9474" max="9474" width="48.28515625" style="52" customWidth="1"/>
    <col min="9475" max="9475" width="9.5703125" style="52" bestFit="1" customWidth="1"/>
    <col min="9476" max="9728" width="9" style="52"/>
    <col min="9729" max="9729" width="15.42578125" style="52" customWidth="1"/>
    <col min="9730" max="9730" width="48.28515625" style="52" customWidth="1"/>
    <col min="9731" max="9731" width="9.5703125" style="52" bestFit="1" customWidth="1"/>
    <col min="9732" max="9984" width="9" style="52"/>
    <col min="9985" max="9985" width="15.42578125" style="52" customWidth="1"/>
    <col min="9986" max="9986" width="48.28515625" style="52" customWidth="1"/>
    <col min="9987" max="9987" width="9.5703125" style="52" bestFit="1" customWidth="1"/>
    <col min="9988" max="10240" width="9" style="52"/>
    <col min="10241" max="10241" width="15.42578125" style="52" customWidth="1"/>
    <col min="10242" max="10242" width="48.28515625" style="52" customWidth="1"/>
    <col min="10243" max="10243" width="9.5703125" style="52" bestFit="1" customWidth="1"/>
    <col min="10244" max="10496" width="9" style="52"/>
    <col min="10497" max="10497" width="15.42578125" style="52" customWidth="1"/>
    <col min="10498" max="10498" width="48.28515625" style="52" customWidth="1"/>
    <col min="10499" max="10499" width="9.5703125" style="52" bestFit="1" customWidth="1"/>
    <col min="10500" max="10752" width="9" style="52"/>
    <col min="10753" max="10753" width="15.42578125" style="52" customWidth="1"/>
    <col min="10754" max="10754" width="48.28515625" style="52" customWidth="1"/>
    <col min="10755" max="10755" width="9.5703125" style="52" bestFit="1" customWidth="1"/>
    <col min="10756" max="11008" width="9" style="52"/>
    <col min="11009" max="11009" width="15.42578125" style="52" customWidth="1"/>
    <col min="11010" max="11010" width="48.28515625" style="52" customWidth="1"/>
    <col min="11011" max="11011" width="9.5703125" style="52" bestFit="1" customWidth="1"/>
    <col min="11012" max="11264" width="9" style="52"/>
    <col min="11265" max="11265" width="15.42578125" style="52" customWidth="1"/>
    <col min="11266" max="11266" width="48.28515625" style="52" customWidth="1"/>
    <col min="11267" max="11267" width="9.5703125" style="52" bestFit="1" customWidth="1"/>
    <col min="11268" max="11520" width="9" style="52"/>
    <col min="11521" max="11521" width="15.42578125" style="52" customWidth="1"/>
    <col min="11522" max="11522" width="48.28515625" style="52" customWidth="1"/>
    <col min="11523" max="11523" width="9.5703125" style="52" bestFit="1" customWidth="1"/>
    <col min="11524" max="11776" width="9" style="52"/>
    <col min="11777" max="11777" width="15.42578125" style="52" customWidth="1"/>
    <col min="11778" max="11778" width="48.28515625" style="52" customWidth="1"/>
    <col min="11779" max="11779" width="9.5703125" style="52" bestFit="1" customWidth="1"/>
    <col min="11780" max="12032" width="9" style="52"/>
    <col min="12033" max="12033" width="15.42578125" style="52" customWidth="1"/>
    <col min="12034" max="12034" width="48.28515625" style="52" customWidth="1"/>
    <col min="12035" max="12035" width="9.5703125" style="52" bestFit="1" customWidth="1"/>
    <col min="12036" max="12288" width="9" style="52"/>
    <col min="12289" max="12289" width="15.42578125" style="52" customWidth="1"/>
    <col min="12290" max="12290" width="48.28515625" style="52" customWidth="1"/>
    <col min="12291" max="12291" width="9.5703125" style="52" bestFit="1" customWidth="1"/>
    <col min="12292" max="12544" width="9" style="52"/>
    <col min="12545" max="12545" width="15.42578125" style="52" customWidth="1"/>
    <col min="12546" max="12546" width="48.28515625" style="52" customWidth="1"/>
    <col min="12547" max="12547" width="9.5703125" style="52" bestFit="1" customWidth="1"/>
    <col min="12548" max="12800" width="9" style="52"/>
    <col min="12801" max="12801" width="15.42578125" style="52" customWidth="1"/>
    <col min="12802" max="12802" width="48.28515625" style="52" customWidth="1"/>
    <col min="12803" max="12803" width="9.5703125" style="52" bestFit="1" customWidth="1"/>
    <col min="12804" max="13056" width="9" style="52"/>
    <col min="13057" max="13057" width="15.42578125" style="52" customWidth="1"/>
    <col min="13058" max="13058" width="48.28515625" style="52" customWidth="1"/>
    <col min="13059" max="13059" width="9.5703125" style="52" bestFit="1" customWidth="1"/>
    <col min="13060" max="13312" width="9" style="52"/>
    <col min="13313" max="13313" width="15.42578125" style="52" customWidth="1"/>
    <col min="13314" max="13314" width="48.28515625" style="52" customWidth="1"/>
    <col min="13315" max="13315" width="9.5703125" style="52" bestFit="1" customWidth="1"/>
    <col min="13316" max="13568" width="9" style="52"/>
    <col min="13569" max="13569" width="15.42578125" style="52" customWidth="1"/>
    <col min="13570" max="13570" width="48.28515625" style="52" customWidth="1"/>
    <col min="13571" max="13571" width="9.5703125" style="52" bestFit="1" customWidth="1"/>
    <col min="13572" max="13824" width="9" style="52"/>
    <col min="13825" max="13825" width="15.42578125" style="52" customWidth="1"/>
    <col min="13826" max="13826" width="48.28515625" style="52" customWidth="1"/>
    <col min="13827" max="13827" width="9.5703125" style="52" bestFit="1" customWidth="1"/>
    <col min="13828" max="14080" width="9" style="52"/>
    <col min="14081" max="14081" width="15.42578125" style="52" customWidth="1"/>
    <col min="14082" max="14082" width="48.28515625" style="52" customWidth="1"/>
    <col min="14083" max="14083" width="9.5703125" style="52" bestFit="1" customWidth="1"/>
    <col min="14084" max="14336" width="9" style="52"/>
    <col min="14337" max="14337" width="15.42578125" style="52" customWidth="1"/>
    <col min="14338" max="14338" width="48.28515625" style="52" customWidth="1"/>
    <col min="14339" max="14339" width="9.5703125" style="52" bestFit="1" customWidth="1"/>
    <col min="14340" max="14592" width="9" style="52"/>
    <col min="14593" max="14593" width="15.42578125" style="52" customWidth="1"/>
    <col min="14594" max="14594" width="48.28515625" style="52" customWidth="1"/>
    <col min="14595" max="14595" width="9.5703125" style="52" bestFit="1" customWidth="1"/>
    <col min="14596" max="14848" width="9" style="52"/>
    <col min="14849" max="14849" width="15.42578125" style="52" customWidth="1"/>
    <col min="14850" max="14850" width="48.28515625" style="52" customWidth="1"/>
    <col min="14851" max="14851" width="9.5703125" style="52" bestFit="1" customWidth="1"/>
    <col min="14852" max="15104" width="9" style="52"/>
    <col min="15105" max="15105" width="15.42578125" style="52" customWidth="1"/>
    <col min="15106" max="15106" width="48.28515625" style="52" customWidth="1"/>
    <col min="15107" max="15107" width="9.5703125" style="52" bestFit="1" customWidth="1"/>
    <col min="15108" max="15360" width="9" style="52"/>
    <col min="15361" max="15361" width="15.42578125" style="52" customWidth="1"/>
    <col min="15362" max="15362" width="48.28515625" style="52" customWidth="1"/>
    <col min="15363" max="15363" width="9.5703125" style="52" bestFit="1" customWidth="1"/>
    <col min="15364" max="15616" width="9" style="52"/>
    <col min="15617" max="15617" width="15.42578125" style="52" customWidth="1"/>
    <col min="15618" max="15618" width="48.28515625" style="52" customWidth="1"/>
    <col min="15619" max="15619" width="9.5703125" style="52" bestFit="1" customWidth="1"/>
    <col min="15620" max="15872" width="9" style="52"/>
    <col min="15873" max="15873" width="15.42578125" style="52" customWidth="1"/>
    <col min="15874" max="15874" width="48.28515625" style="52" customWidth="1"/>
    <col min="15875" max="15875" width="9.5703125" style="52" bestFit="1" customWidth="1"/>
    <col min="15876" max="16128" width="9" style="52"/>
    <col min="16129" max="16129" width="15.42578125" style="52" customWidth="1"/>
    <col min="16130" max="16130" width="48.28515625" style="52" customWidth="1"/>
    <col min="16131" max="16131" width="9.5703125" style="52" bestFit="1" customWidth="1"/>
    <col min="16132" max="16384" width="9" style="52"/>
  </cols>
  <sheetData>
    <row r="1" spans="1:15" ht="15" x14ac:dyDescent="0.25">
      <c r="A1" s="528" t="s">
        <v>664</v>
      </c>
      <c r="B1" s="529"/>
      <c r="C1" s="529"/>
      <c r="D1" s="529"/>
      <c r="E1" s="529"/>
      <c r="F1" s="529"/>
      <c r="G1" s="530"/>
    </row>
    <row r="2" spans="1:15" ht="15" x14ac:dyDescent="0.25">
      <c r="A2" s="531" t="s">
        <v>48</v>
      </c>
      <c r="B2" s="532"/>
      <c r="C2" s="532"/>
      <c r="D2" s="532"/>
      <c r="E2" s="532"/>
      <c r="F2" s="532"/>
      <c r="G2" s="533"/>
    </row>
    <row r="3" spans="1:15" ht="15.75" thickBot="1" x14ac:dyDescent="0.3">
      <c r="A3" s="531" t="s">
        <v>49</v>
      </c>
      <c r="B3" s="532"/>
      <c r="C3" s="532"/>
      <c r="D3" s="532"/>
      <c r="E3" s="532"/>
      <c r="F3" s="532"/>
      <c r="G3" s="533"/>
    </row>
    <row r="4" spans="1:15" ht="15.75" thickBot="1" x14ac:dyDescent="0.3">
      <c r="A4" s="534" t="s">
        <v>73</v>
      </c>
      <c r="B4" s="535"/>
      <c r="C4" s="535"/>
      <c r="D4" s="535"/>
      <c r="E4" s="535"/>
      <c r="F4" s="535"/>
      <c r="G4" s="536"/>
    </row>
    <row r="5" spans="1:15" ht="20.25" x14ac:dyDescent="0.2">
      <c r="A5" s="605" t="s">
        <v>219</v>
      </c>
      <c r="B5" s="606"/>
      <c r="C5" s="606"/>
      <c r="D5" s="606"/>
      <c r="E5" s="606"/>
      <c r="F5" s="606"/>
      <c r="G5" s="606"/>
      <c r="H5" s="607"/>
    </row>
    <row r="6" spans="1:15" ht="20.25" x14ac:dyDescent="0.2">
      <c r="A6" s="608"/>
      <c r="B6" s="609"/>
      <c r="C6" s="609"/>
      <c r="D6" s="609"/>
      <c r="E6" s="609"/>
      <c r="F6" s="609"/>
      <c r="G6" s="609"/>
      <c r="H6" s="610"/>
    </row>
    <row r="7" spans="1:15" ht="15.75" x14ac:dyDescent="0.2">
      <c r="A7" s="87" t="s">
        <v>220</v>
      </c>
      <c r="B7" s="611" t="str">
        <f>'[5]Orçamento Sintético'!A4</f>
        <v>Recomposição de taludes e bueiro no Perímetro Irrigado do Baixio de Irecê, no município de Xique-Xique, na área de abrangência 2ª Superintendência Regional da CODEVASF, no estado da Bahia.</v>
      </c>
      <c r="C7" s="612"/>
      <c r="D7" s="612"/>
      <c r="E7" s="612"/>
      <c r="F7" s="612"/>
      <c r="G7" s="612"/>
      <c r="H7" s="613"/>
      <c r="I7" s="88"/>
      <c r="J7" s="88"/>
    </row>
    <row r="8" spans="1:15" ht="16.5" thickBot="1" x14ac:dyDescent="0.25">
      <c r="A8" s="89"/>
      <c r="B8" s="614"/>
      <c r="C8" s="614"/>
      <c r="D8" s="614"/>
      <c r="E8" s="614"/>
      <c r="F8" s="614"/>
      <c r="G8" s="614"/>
      <c r="H8" s="615"/>
    </row>
    <row r="9" spans="1:15" ht="15.75" thickBot="1" x14ac:dyDescent="0.25">
      <c r="A9" s="587" t="s">
        <v>221</v>
      </c>
      <c r="B9" s="588"/>
      <c r="C9" s="588"/>
      <c r="D9" s="588"/>
      <c r="E9" s="588"/>
      <c r="F9" s="588"/>
      <c r="G9" s="588"/>
      <c r="H9" s="589"/>
    </row>
    <row r="10" spans="1:15" ht="15.75" thickBot="1" x14ac:dyDescent="0.25">
      <c r="A10" s="90"/>
      <c r="B10" s="91"/>
      <c r="C10" s="91"/>
      <c r="D10" s="91"/>
      <c r="E10" s="91"/>
      <c r="F10" s="92"/>
      <c r="G10" s="92"/>
      <c r="H10" s="93"/>
      <c r="L10" s="604" t="s">
        <v>222</v>
      </c>
      <c r="M10" s="604"/>
      <c r="N10" s="604"/>
      <c r="O10" s="604"/>
    </row>
    <row r="11" spans="1:15" ht="15.75" thickBot="1" x14ac:dyDescent="0.25">
      <c r="A11" s="587" t="s">
        <v>223</v>
      </c>
      <c r="B11" s="588"/>
      <c r="C11" s="589"/>
      <c r="D11" s="91"/>
      <c r="E11" s="590" t="s">
        <v>224</v>
      </c>
      <c r="F11" s="591"/>
      <c r="G11" s="591"/>
      <c r="H11" s="592"/>
      <c r="L11" s="590" t="s">
        <v>224</v>
      </c>
      <c r="M11" s="591"/>
      <c r="N11" s="591"/>
      <c r="O11" s="592"/>
    </row>
    <row r="12" spans="1:15" x14ac:dyDescent="0.2">
      <c r="A12" s="596" t="s">
        <v>225</v>
      </c>
      <c r="B12" s="598" t="s">
        <v>226</v>
      </c>
      <c r="C12" s="600" t="s">
        <v>227</v>
      </c>
      <c r="D12" s="94"/>
      <c r="E12" s="593"/>
      <c r="F12" s="594"/>
      <c r="G12" s="594"/>
      <c r="H12" s="595"/>
      <c r="L12" s="593"/>
      <c r="M12" s="594"/>
      <c r="N12" s="594"/>
      <c r="O12" s="595"/>
    </row>
    <row r="13" spans="1:15" ht="13.5" thickBot="1" x14ac:dyDescent="0.25">
      <c r="A13" s="597"/>
      <c r="B13" s="599"/>
      <c r="C13" s="601"/>
      <c r="D13" s="94"/>
      <c r="E13" s="95" t="s">
        <v>228</v>
      </c>
      <c r="F13" s="602" t="s">
        <v>229</v>
      </c>
      <c r="G13" s="603"/>
      <c r="H13" s="96" t="s">
        <v>230</v>
      </c>
      <c r="L13" s="95" t="s">
        <v>228</v>
      </c>
      <c r="M13" s="602" t="s">
        <v>229</v>
      </c>
      <c r="N13" s="603"/>
      <c r="O13" s="96" t="s">
        <v>230</v>
      </c>
    </row>
    <row r="14" spans="1:15" ht="15.75" thickBot="1" x14ac:dyDescent="0.25">
      <c r="A14" s="583"/>
      <c r="B14" s="584"/>
      <c r="C14" s="584"/>
      <c r="D14" s="97"/>
      <c r="E14" s="97"/>
      <c r="F14" s="92"/>
      <c r="G14" s="92"/>
      <c r="H14" s="93"/>
      <c r="L14" s="97"/>
      <c r="M14" s="92"/>
      <c r="N14" s="92"/>
      <c r="O14" s="93"/>
    </row>
    <row r="15" spans="1:15" ht="14.25" x14ac:dyDescent="0.2">
      <c r="A15" s="98" t="s">
        <v>231</v>
      </c>
      <c r="B15" s="562" t="s">
        <v>232</v>
      </c>
      <c r="C15" s="563"/>
      <c r="D15" s="99"/>
      <c r="E15" s="100"/>
      <c r="F15" s="585"/>
      <c r="G15" s="586"/>
      <c r="H15" s="101"/>
      <c r="L15" s="100"/>
      <c r="M15" s="585"/>
      <c r="N15" s="586"/>
      <c r="O15" s="101"/>
    </row>
    <row r="16" spans="1:15" ht="15" x14ac:dyDescent="0.2">
      <c r="A16" s="102" t="s">
        <v>157</v>
      </c>
      <c r="B16" s="103" t="s">
        <v>233</v>
      </c>
      <c r="C16" s="104">
        <v>5.0000000000000001E-3</v>
      </c>
      <c r="D16" s="105"/>
      <c r="E16" s="106">
        <v>2.8E-3</v>
      </c>
      <c r="F16" s="581">
        <v>4.8999999999999998E-3</v>
      </c>
      <c r="G16" s="582"/>
      <c r="H16" s="107">
        <v>7.4999999999999997E-3</v>
      </c>
      <c r="L16" s="108">
        <v>3.2000000000000002E-3</v>
      </c>
      <c r="M16" s="581">
        <v>4.0000000000000001E-3</v>
      </c>
      <c r="N16" s="582"/>
      <c r="O16" s="107">
        <v>7.4000000000000003E-3</v>
      </c>
    </row>
    <row r="17" spans="1:15" ht="15" x14ac:dyDescent="0.2">
      <c r="A17" s="102" t="s">
        <v>159</v>
      </c>
      <c r="B17" s="103" t="s">
        <v>234</v>
      </c>
      <c r="C17" s="104">
        <v>1.2E-2</v>
      </c>
      <c r="D17" s="105"/>
      <c r="E17" s="106">
        <v>0.01</v>
      </c>
      <c r="F17" s="581">
        <v>1.3899999999999999E-2</v>
      </c>
      <c r="G17" s="582"/>
      <c r="H17" s="107">
        <v>1.7399999999999999E-2</v>
      </c>
      <c r="L17" s="108">
        <v>5.0000000000000001E-3</v>
      </c>
      <c r="M17" s="581">
        <v>5.5999999999999999E-3</v>
      </c>
      <c r="N17" s="582"/>
      <c r="O17" s="107">
        <v>9.7000000000000003E-3</v>
      </c>
    </row>
    <row r="18" spans="1:15" ht="15" x14ac:dyDescent="0.2">
      <c r="A18" s="102" t="s">
        <v>161</v>
      </c>
      <c r="B18" s="103" t="s">
        <v>235</v>
      </c>
      <c r="C18" s="104">
        <v>0.01</v>
      </c>
      <c r="D18" s="105"/>
      <c r="E18" s="106">
        <v>9.4000000000000004E-3</v>
      </c>
      <c r="F18" s="581">
        <v>9.9000000000000008E-3</v>
      </c>
      <c r="G18" s="582"/>
      <c r="H18" s="107">
        <v>1.17E-2</v>
      </c>
      <c r="L18" s="106">
        <v>1.0200000000000001E-2</v>
      </c>
      <c r="M18" s="581">
        <v>1.11E-2</v>
      </c>
      <c r="N18" s="582"/>
      <c r="O18" s="107">
        <v>1.21E-2</v>
      </c>
    </row>
    <row r="19" spans="1:15" ht="15" x14ac:dyDescent="0.2">
      <c r="A19" s="102" t="s">
        <v>163</v>
      </c>
      <c r="B19" s="103" t="s">
        <v>236</v>
      </c>
      <c r="C19" s="104">
        <v>0.04</v>
      </c>
      <c r="D19" s="105"/>
      <c r="E19" s="106">
        <v>3.4299999999999997E-2</v>
      </c>
      <c r="F19" s="581">
        <v>4.9299999999999997E-2</v>
      </c>
      <c r="G19" s="582"/>
      <c r="H19" s="107">
        <v>6.7100000000000007E-2</v>
      </c>
      <c r="L19" s="106">
        <v>3.7999999999999999E-2</v>
      </c>
      <c r="M19" s="581">
        <v>4.0099999999999997E-2</v>
      </c>
      <c r="N19" s="582"/>
      <c r="O19" s="107">
        <v>4.6699999999999998E-2</v>
      </c>
    </row>
    <row r="20" spans="1:15" ht="15.75" thickBot="1" x14ac:dyDescent="0.25">
      <c r="A20" s="546" t="s">
        <v>237</v>
      </c>
      <c r="B20" s="547"/>
      <c r="C20" s="109">
        <f>SUM(C16:C19)</f>
        <v>6.7000000000000004E-2</v>
      </c>
      <c r="D20" s="110"/>
      <c r="E20" s="111"/>
      <c r="F20" s="577"/>
      <c r="G20" s="578"/>
      <c r="H20" s="112"/>
      <c r="L20" s="111"/>
      <c r="M20" s="577"/>
      <c r="N20" s="578"/>
      <c r="O20" s="112"/>
    </row>
    <row r="21" spans="1:15" ht="15.75" thickBot="1" x14ac:dyDescent="0.25">
      <c r="A21" s="575"/>
      <c r="B21" s="576"/>
      <c r="C21" s="576"/>
      <c r="D21" s="113"/>
      <c r="E21" s="105"/>
      <c r="F21" s="105"/>
      <c r="G21" s="105"/>
      <c r="H21" s="114"/>
      <c r="L21" s="105"/>
      <c r="M21" s="105"/>
      <c r="N21" s="105"/>
      <c r="O21" s="114"/>
    </row>
    <row r="22" spans="1:15" ht="15" x14ac:dyDescent="0.2">
      <c r="A22" s="98" t="s">
        <v>238</v>
      </c>
      <c r="B22" s="562" t="s">
        <v>239</v>
      </c>
      <c r="C22" s="563"/>
      <c r="D22" s="99"/>
      <c r="E22" s="115"/>
      <c r="F22" s="579"/>
      <c r="G22" s="580"/>
      <c r="H22" s="116"/>
      <c r="L22" s="115"/>
      <c r="M22" s="579"/>
      <c r="N22" s="580"/>
      <c r="O22" s="116"/>
    </row>
    <row r="23" spans="1:15" ht="15" x14ac:dyDescent="0.2">
      <c r="A23" s="102" t="s">
        <v>240</v>
      </c>
      <c r="B23" s="103" t="s">
        <v>241</v>
      </c>
      <c r="C23" s="104">
        <v>0.08</v>
      </c>
      <c r="D23" s="105"/>
      <c r="E23" s="106">
        <v>6.7400000000000002E-2</v>
      </c>
      <c r="F23" s="581">
        <v>8.0399999999999999E-2</v>
      </c>
      <c r="G23" s="582"/>
      <c r="H23" s="107">
        <v>9.4E-2</v>
      </c>
      <c r="L23" s="106">
        <v>6.6400000000000001E-2</v>
      </c>
      <c r="M23" s="581">
        <v>7.2999999999999995E-2</v>
      </c>
      <c r="N23" s="582"/>
      <c r="O23" s="107">
        <v>8.6900000000000005E-2</v>
      </c>
    </row>
    <row r="24" spans="1:15" ht="15.75" thickBot="1" x14ac:dyDescent="0.25">
      <c r="A24" s="546" t="s">
        <v>242</v>
      </c>
      <c r="B24" s="547"/>
      <c r="C24" s="109">
        <f>SUM(C23)</f>
        <v>0.08</v>
      </c>
      <c r="D24" s="110"/>
      <c r="E24" s="111"/>
      <c r="F24" s="577"/>
      <c r="G24" s="578"/>
      <c r="H24" s="112"/>
      <c r="L24" s="111"/>
      <c r="M24" s="577"/>
      <c r="N24" s="578"/>
      <c r="O24" s="112"/>
    </row>
    <row r="25" spans="1:15" ht="15.75" thickBot="1" x14ac:dyDescent="0.25">
      <c r="A25" s="575"/>
      <c r="B25" s="576"/>
      <c r="C25" s="576"/>
      <c r="D25" s="113"/>
      <c r="E25" s="105"/>
      <c r="F25" s="105"/>
      <c r="G25" s="105"/>
      <c r="H25" s="114"/>
    </row>
    <row r="26" spans="1:15" ht="13.5" thickBot="1" x14ac:dyDescent="0.25">
      <c r="A26" s="98" t="s">
        <v>243</v>
      </c>
      <c r="B26" s="562" t="s">
        <v>244</v>
      </c>
      <c r="C26" s="563"/>
      <c r="D26" s="99"/>
      <c r="H26" s="117"/>
    </row>
    <row r="27" spans="1:15" ht="12.75" customHeight="1" x14ac:dyDescent="0.2">
      <c r="A27" s="102" t="s">
        <v>245</v>
      </c>
      <c r="B27" s="103" t="s">
        <v>246</v>
      </c>
      <c r="C27" s="104">
        <v>6.4999999999999997E-3</v>
      </c>
      <c r="D27" s="105"/>
      <c r="H27" s="117"/>
      <c r="L27" s="564" t="s">
        <v>247</v>
      </c>
      <c r="M27" s="565"/>
      <c r="N27" s="565"/>
      <c r="O27" s="566"/>
    </row>
    <row r="28" spans="1:15" ht="33.75" x14ac:dyDescent="0.2">
      <c r="A28" s="102" t="s">
        <v>248</v>
      </c>
      <c r="B28" s="103" t="s">
        <v>249</v>
      </c>
      <c r="C28" s="104">
        <v>0.03</v>
      </c>
      <c r="D28" s="105"/>
      <c r="H28" s="117"/>
      <c r="L28" s="118" t="s">
        <v>250</v>
      </c>
      <c r="M28" s="119" t="s">
        <v>251</v>
      </c>
      <c r="N28" s="120"/>
      <c r="O28" s="121" t="s">
        <v>252</v>
      </c>
    </row>
    <row r="29" spans="1:15" ht="15.75" thickBot="1" x14ac:dyDescent="0.25">
      <c r="A29" s="567" t="s">
        <v>253</v>
      </c>
      <c r="B29" s="569" t="s">
        <v>254</v>
      </c>
      <c r="C29" s="571">
        <f>L30</f>
        <v>0.05</v>
      </c>
      <c r="D29" s="105"/>
      <c r="H29" s="117"/>
      <c r="L29" s="124"/>
      <c r="M29" s="125"/>
      <c r="N29" s="126"/>
      <c r="O29" s="127"/>
    </row>
    <row r="30" spans="1:15" ht="15.75" thickBot="1" x14ac:dyDescent="0.25">
      <c r="A30" s="568"/>
      <c r="B30" s="570"/>
      <c r="C30" s="572"/>
      <c r="D30" s="105"/>
      <c r="H30" s="117"/>
      <c r="L30" s="128">
        <v>0.05</v>
      </c>
      <c r="M30" s="573">
        <v>0.6</v>
      </c>
      <c r="N30" s="574"/>
      <c r="O30" s="129">
        <f>L30*M30</f>
        <v>0.03</v>
      </c>
    </row>
    <row r="31" spans="1:15" ht="15" x14ac:dyDescent="0.2">
      <c r="A31" s="122" t="s">
        <v>255</v>
      </c>
      <c r="B31" s="130" t="s">
        <v>256</v>
      </c>
      <c r="C31" s="123">
        <v>0</v>
      </c>
      <c r="D31" s="105"/>
      <c r="H31" s="117"/>
    </row>
    <row r="32" spans="1:15" ht="13.5" thickBot="1" x14ac:dyDescent="0.25">
      <c r="A32" s="546" t="s">
        <v>257</v>
      </c>
      <c r="B32" s="547"/>
      <c r="C32" s="109">
        <f>SUM(C27:C31)</f>
        <v>8.6499999999999994E-2</v>
      </c>
      <c r="D32" s="110"/>
      <c r="H32" s="117"/>
    </row>
    <row r="33" spans="1:8" ht="15" x14ac:dyDescent="0.2">
      <c r="A33" s="548"/>
      <c r="B33" s="549"/>
      <c r="C33" s="549"/>
      <c r="D33" s="113"/>
      <c r="H33" s="117"/>
    </row>
    <row r="34" spans="1:8" ht="15" x14ac:dyDescent="0.2">
      <c r="A34" s="131"/>
      <c r="B34" s="99" t="s">
        <v>258</v>
      </c>
      <c r="C34" s="132"/>
      <c r="D34" s="132"/>
      <c r="E34" s="133"/>
      <c r="F34" s="133"/>
      <c r="G34" s="133"/>
      <c r="H34" s="134"/>
    </row>
    <row r="35" spans="1:8" ht="15.75" thickBot="1" x14ac:dyDescent="0.25">
      <c r="A35" s="135"/>
      <c r="B35" s="113"/>
      <c r="C35" s="113"/>
      <c r="D35" s="113"/>
      <c r="E35" s="133"/>
      <c r="F35" s="133"/>
      <c r="G35" s="133"/>
      <c r="H35" s="134"/>
    </row>
    <row r="36" spans="1:8" ht="15" x14ac:dyDescent="0.2">
      <c r="A36" s="550" t="s">
        <v>259</v>
      </c>
      <c r="B36" s="551"/>
      <c r="C36" s="552"/>
      <c r="D36" s="136"/>
      <c r="E36" s="133"/>
      <c r="F36" s="133"/>
      <c r="G36" s="133"/>
      <c r="H36" s="134"/>
    </row>
    <row r="37" spans="1:8" ht="15.75" thickBot="1" x14ac:dyDescent="0.25">
      <c r="A37" s="553"/>
      <c r="B37" s="554"/>
      <c r="C37" s="555"/>
      <c r="D37" s="136"/>
      <c r="E37" s="133"/>
      <c r="F37" s="133"/>
      <c r="G37" s="133"/>
      <c r="H37" s="134"/>
    </row>
    <row r="38" spans="1:8" ht="15.75" thickBot="1" x14ac:dyDescent="0.25">
      <c r="A38" s="137"/>
      <c r="B38" s="138"/>
      <c r="C38" s="139"/>
      <c r="D38" s="139"/>
      <c r="E38" s="133"/>
      <c r="F38" s="133"/>
      <c r="G38" s="133"/>
      <c r="H38" s="134"/>
    </row>
    <row r="39" spans="1:8" ht="15.75" x14ac:dyDescent="0.2">
      <c r="A39" s="556" t="s">
        <v>260</v>
      </c>
      <c r="B39" s="557"/>
      <c r="C39" s="560">
        <f>(((1+C19+C16+C17)*(1+C18)*(1+C24))/(1-C32))-1</f>
        <v>0.26215172413793097</v>
      </c>
      <c r="D39" s="140"/>
      <c r="E39" s="133"/>
      <c r="F39" s="133"/>
      <c r="G39" s="133"/>
      <c r="H39" s="134"/>
    </row>
    <row r="40" spans="1:8" ht="16.5" thickBot="1" x14ac:dyDescent="0.25">
      <c r="A40" s="558"/>
      <c r="B40" s="559"/>
      <c r="C40" s="561"/>
      <c r="D40" s="141"/>
      <c r="E40" s="142"/>
      <c r="F40" s="142"/>
      <c r="G40" s="142"/>
      <c r="H40" s="143"/>
    </row>
  </sheetData>
  <mergeCells count="54">
    <mergeCell ref="L10:O10"/>
    <mergeCell ref="A5:H5"/>
    <mergeCell ref="A6:H6"/>
    <mergeCell ref="B7:H7"/>
    <mergeCell ref="B8:H8"/>
    <mergeCell ref="A9:H9"/>
    <mergeCell ref="M15:N15"/>
    <mergeCell ref="F16:G16"/>
    <mergeCell ref="M16:N16"/>
    <mergeCell ref="A11:C11"/>
    <mergeCell ref="E11:H12"/>
    <mergeCell ref="L11:O12"/>
    <mergeCell ref="A12:A13"/>
    <mergeCell ref="B12:B13"/>
    <mergeCell ref="C12:C13"/>
    <mergeCell ref="F13:G13"/>
    <mergeCell ref="M13:N13"/>
    <mergeCell ref="M23:N23"/>
    <mergeCell ref="A24:B24"/>
    <mergeCell ref="F24:G24"/>
    <mergeCell ref="M24:N24"/>
    <mergeCell ref="F17:G17"/>
    <mergeCell ref="M17:N17"/>
    <mergeCell ref="F18:G18"/>
    <mergeCell ref="M18:N18"/>
    <mergeCell ref="F19:G19"/>
    <mergeCell ref="M19:N19"/>
    <mergeCell ref="M20:N20"/>
    <mergeCell ref="A21:C21"/>
    <mergeCell ref="B22:C22"/>
    <mergeCell ref="F22:G22"/>
    <mergeCell ref="M22:N22"/>
    <mergeCell ref="L27:O27"/>
    <mergeCell ref="A29:A30"/>
    <mergeCell ref="B29:B30"/>
    <mergeCell ref="C29:C30"/>
    <mergeCell ref="M30:N30"/>
    <mergeCell ref="A33:C33"/>
    <mergeCell ref="A36:C37"/>
    <mergeCell ref="A39:B40"/>
    <mergeCell ref="C39:C40"/>
    <mergeCell ref="B26:C26"/>
    <mergeCell ref="A2:G2"/>
    <mergeCell ref="A3:G3"/>
    <mergeCell ref="A4:G4"/>
    <mergeCell ref="A1:G1"/>
    <mergeCell ref="A32:B32"/>
    <mergeCell ref="A25:C25"/>
    <mergeCell ref="A20:B20"/>
    <mergeCell ref="F20:G20"/>
    <mergeCell ref="F23:G23"/>
    <mergeCell ref="A14:C14"/>
    <mergeCell ref="B15:C15"/>
    <mergeCell ref="F15:G15"/>
  </mergeCells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D1A96-2920-45BA-989A-F986AE5F4E4B}">
  <dimension ref="A1:F51"/>
  <sheetViews>
    <sheetView workbookViewId="0">
      <selection activeCell="K5" sqref="K5"/>
    </sheetView>
  </sheetViews>
  <sheetFormatPr defaultColWidth="9" defaultRowHeight="12.75" x14ac:dyDescent="0.2"/>
  <cols>
    <col min="1" max="1" width="36.140625" style="52" customWidth="1"/>
    <col min="2" max="2" width="39.85546875" style="52" customWidth="1"/>
    <col min="3" max="3" width="16.7109375" style="52" hidden="1" customWidth="1"/>
    <col min="4" max="4" width="16.85546875" style="52" hidden="1" customWidth="1"/>
    <col min="5" max="5" width="13.140625" style="52" customWidth="1"/>
    <col min="6" max="6" width="16.85546875" style="52" customWidth="1"/>
    <col min="7" max="256" width="9" style="52"/>
    <col min="257" max="257" width="36.140625" style="52" customWidth="1"/>
    <col min="258" max="258" width="39.85546875" style="52" customWidth="1"/>
    <col min="259" max="260" width="0" style="52" hidden="1" customWidth="1"/>
    <col min="261" max="261" width="13.140625" style="52" customWidth="1"/>
    <col min="262" max="262" width="16.85546875" style="52" customWidth="1"/>
    <col min="263" max="512" width="9" style="52"/>
    <col min="513" max="513" width="36.140625" style="52" customWidth="1"/>
    <col min="514" max="514" width="39.85546875" style="52" customWidth="1"/>
    <col min="515" max="516" width="0" style="52" hidden="1" customWidth="1"/>
    <col min="517" max="517" width="13.140625" style="52" customWidth="1"/>
    <col min="518" max="518" width="16.85546875" style="52" customWidth="1"/>
    <col min="519" max="768" width="9" style="52"/>
    <col min="769" max="769" width="36.140625" style="52" customWidth="1"/>
    <col min="770" max="770" width="39.85546875" style="52" customWidth="1"/>
    <col min="771" max="772" width="0" style="52" hidden="1" customWidth="1"/>
    <col min="773" max="773" width="13.140625" style="52" customWidth="1"/>
    <col min="774" max="774" width="16.85546875" style="52" customWidth="1"/>
    <col min="775" max="1024" width="9" style="52"/>
    <col min="1025" max="1025" width="36.140625" style="52" customWidth="1"/>
    <col min="1026" max="1026" width="39.85546875" style="52" customWidth="1"/>
    <col min="1027" max="1028" width="0" style="52" hidden="1" customWidth="1"/>
    <col min="1029" max="1029" width="13.140625" style="52" customWidth="1"/>
    <col min="1030" max="1030" width="16.85546875" style="52" customWidth="1"/>
    <col min="1031" max="1280" width="9" style="52"/>
    <col min="1281" max="1281" width="36.140625" style="52" customWidth="1"/>
    <col min="1282" max="1282" width="39.85546875" style="52" customWidth="1"/>
    <col min="1283" max="1284" width="0" style="52" hidden="1" customWidth="1"/>
    <col min="1285" max="1285" width="13.140625" style="52" customWidth="1"/>
    <col min="1286" max="1286" width="16.85546875" style="52" customWidth="1"/>
    <col min="1287" max="1536" width="9" style="52"/>
    <col min="1537" max="1537" width="36.140625" style="52" customWidth="1"/>
    <col min="1538" max="1538" width="39.85546875" style="52" customWidth="1"/>
    <col min="1539" max="1540" width="0" style="52" hidden="1" customWidth="1"/>
    <col min="1541" max="1541" width="13.140625" style="52" customWidth="1"/>
    <col min="1542" max="1542" width="16.85546875" style="52" customWidth="1"/>
    <col min="1543" max="1792" width="9" style="52"/>
    <col min="1793" max="1793" width="36.140625" style="52" customWidth="1"/>
    <col min="1794" max="1794" width="39.85546875" style="52" customWidth="1"/>
    <col min="1795" max="1796" width="0" style="52" hidden="1" customWidth="1"/>
    <col min="1797" max="1797" width="13.140625" style="52" customWidth="1"/>
    <col min="1798" max="1798" width="16.85546875" style="52" customWidth="1"/>
    <col min="1799" max="2048" width="9" style="52"/>
    <col min="2049" max="2049" width="36.140625" style="52" customWidth="1"/>
    <col min="2050" max="2050" width="39.85546875" style="52" customWidth="1"/>
    <col min="2051" max="2052" width="0" style="52" hidden="1" customWidth="1"/>
    <col min="2053" max="2053" width="13.140625" style="52" customWidth="1"/>
    <col min="2054" max="2054" width="16.85546875" style="52" customWidth="1"/>
    <col min="2055" max="2304" width="9" style="52"/>
    <col min="2305" max="2305" width="36.140625" style="52" customWidth="1"/>
    <col min="2306" max="2306" width="39.85546875" style="52" customWidth="1"/>
    <col min="2307" max="2308" width="0" style="52" hidden="1" customWidth="1"/>
    <col min="2309" max="2309" width="13.140625" style="52" customWidth="1"/>
    <col min="2310" max="2310" width="16.85546875" style="52" customWidth="1"/>
    <col min="2311" max="2560" width="9" style="52"/>
    <col min="2561" max="2561" width="36.140625" style="52" customWidth="1"/>
    <col min="2562" max="2562" width="39.85546875" style="52" customWidth="1"/>
    <col min="2563" max="2564" width="0" style="52" hidden="1" customWidth="1"/>
    <col min="2565" max="2565" width="13.140625" style="52" customWidth="1"/>
    <col min="2566" max="2566" width="16.85546875" style="52" customWidth="1"/>
    <col min="2567" max="2816" width="9" style="52"/>
    <col min="2817" max="2817" width="36.140625" style="52" customWidth="1"/>
    <col min="2818" max="2818" width="39.85546875" style="52" customWidth="1"/>
    <col min="2819" max="2820" width="0" style="52" hidden="1" customWidth="1"/>
    <col min="2821" max="2821" width="13.140625" style="52" customWidth="1"/>
    <col min="2822" max="2822" width="16.85546875" style="52" customWidth="1"/>
    <col min="2823" max="3072" width="9" style="52"/>
    <col min="3073" max="3073" width="36.140625" style="52" customWidth="1"/>
    <col min="3074" max="3074" width="39.85546875" style="52" customWidth="1"/>
    <col min="3075" max="3076" width="0" style="52" hidden="1" customWidth="1"/>
    <col min="3077" max="3077" width="13.140625" style="52" customWidth="1"/>
    <col min="3078" max="3078" width="16.85546875" style="52" customWidth="1"/>
    <col min="3079" max="3328" width="9" style="52"/>
    <col min="3329" max="3329" width="36.140625" style="52" customWidth="1"/>
    <col min="3330" max="3330" width="39.85546875" style="52" customWidth="1"/>
    <col min="3331" max="3332" width="0" style="52" hidden="1" customWidth="1"/>
    <col min="3333" max="3333" width="13.140625" style="52" customWidth="1"/>
    <col min="3334" max="3334" width="16.85546875" style="52" customWidth="1"/>
    <col min="3335" max="3584" width="9" style="52"/>
    <col min="3585" max="3585" width="36.140625" style="52" customWidth="1"/>
    <col min="3586" max="3586" width="39.85546875" style="52" customWidth="1"/>
    <col min="3587" max="3588" width="0" style="52" hidden="1" customWidth="1"/>
    <col min="3589" max="3589" width="13.140625" style="52" customWidth="1"/>
    <col min="3590" max="3590" width="16.85546875" style="52" customWidth="1"/>
    <col min="3591" max="3840" width="9" style="52"/>
    <col min="3841" max="3841" width="36.140625" style="52" customWidth="1"/>
    <col min="3842" max="3842" width="39.85546875" style="52" customWidth="1"/>
    <col min="3843" max="3844" width="0" style="52" hidden="1" customWidth="1"/>
    <col min="3845" max="3845" width="13.140625" style="52" customWidth="1"/>
    <col min="3846" max="3846" width="16.85546875" style="52" customWidth="1"/>
    <col min="3847" max="4096" width="9" style="52"/>
    <col min="4097" max="4097" width="36.140625" style="52" customWidth="1"/>
    <col min="4098" max="4098" width="39.85546875" style="52" customWidth="1"/>
    <col min="4099" max="4100" width="0" style="52" hidden="1" customWidth="1"/>
    <col min="4101" max="4101" width="13.140625" style="52" customWidth="1"/>
    <col min="4102" max="4102" width="16.85546875" style="52" customWidth="1"/>
    <col min="4103" max="4352" width="9" style="52"/>
    <col min="4353" max="4353" width="36.140625" style="52" customWidth="1"/>
    <col min="4354" max="4354" width="39.85546875" style="52" customWidth="1"/>
    <col min="4355" max="4356" width="0" style="52" hidden="1" customWidth="1"/>
    <col min="4357" max="4357" width="13.140625" style="52" customWidth="1"/>
    <col min="4358" max="4358" width="16.85546875" style="52" customWidth="1"/>
    <col min="4359" max="4608" width="9" style="52"/>
    <col min="4609" max="4609" width="36.140625" style="52" customWidth="1"/>
    <col min="4610" max="4610" width="39.85546875" style="52" customWidth="1"/>
    <col min="4611" max="4612" width="0" style="52" hidden="1" customWidth="1"/>
    <col min="4613" max="4613" width="13.140625" style="52" customWidth="1"/>
    <col min="4614" max="4614" width="16.85546875" style="52" customWidth="1"/>
    <col min="4615" max="4864" width="9" style="52"/>
    <col min="4865" max="4865" width="36.140625" style="52" customWidth="1"/>
    <col min="4866" max="4866" width="39.85546875" style="52" customWidth="1"/>
    <col min="4867" max="4868" width="0" style="52" hidden="1" customWidth="1"/>
    <col min="4869" max="4869" width="13.140625" style="52" customWidth="1"/>
    <col min="4870" max="4870" width="16.85546875" style="52" customWidth="1"/>
    <col min="4871" max="5120" width="9" style="52"/>
    <col min="5121" max="5121" width="36.140625" style="52" customWidth="1"/>
    <col min="5122" max="5122" width="39.85546875" style="52" customWidth="1"/>
    <col min="5123" max="5124" width="0" style="52" hidden="1" customWidth="1"/>
    <col min="5125" max="5125" width="13.140625" style="52" customWidth="1"/>
    <col min="5126" max="5126" width="16.85546875" style="52" customWidth="1"/>
    <col min="5127" max="5376" width="9" style="52"/>
    <col min="5377" max="5377" width="36.140625" style="52" customWidth="1"/>
    <col min="5378" max="5378" width="39.85546875" style="52" customWidth="1"/>
    <col min="5379" max="5380" width="0" style="52" hidden="1" customWidth="1"/>
    <col min="5381" max="5381" width="13.140625" style="52" customWidth="1"/>
    <col min="5382" max="5382" width="16.85546875" style="52" customWidth="1"/>
    <col min="5383" max="5632" width="9" style="52"/>
    <col min="5633" max="5633" width="36.140625" style="52" customWidth="1"/>
    <col min="5634" max="5634" width="39.85546875" style="52" customWidth="1"/>
    <col min="5635" max="5636" width="0" style="52" hidden="1" customWidth="1"/>
    <col min="5637" max="5637" width="13.140625" style="52" customWidth="1"/>
    <col min="5638" max="5638" width="16.85546875" style="52" customWidth="1"/>
    <col min="5639" max="5888" width="9" style="52"/>
    <col min="5889" max="5889" width="36.140625" style="52" customWidth="1"/>
    <col min="5890" max="5890" width="39.85546875" style="52" customWidth="1"/>
    <col min="5891" max="5892" width="0" style="52" hidden="1" customWidth="1"/>
    <col min="5893" max="5893" width="13.140625" style="52" customWidth="1"/>
    <col min="5894" max="5894" width="16.85546875" style="52" customWidth="1"/>
    <col min="5895" max="6144" width="9" style="52"/>
    <col min="6145" max="6145" width="36.140625" style="52" customWidth="1"/>
    <col min="6146" max="6146" width="39.85546875" style="52" customWidth="1"/>
    <col min="6147" max="6148" width="0" style="52" hidden="1" customWidth="1"/>
    <col min="6149" max="6149" width="13.140625" style="52" customWidth="1"/>
    <col min="6150" max="6150" width="16.85546875" style="52" customWidth="1"/>
    <col min="6151" max="6400" width="9" style="52"/>
    <col min="6401" max="6401" width="36.140625" style="52" customWidth="1"/>
    <col min="6402" max="6402" width="39.85546875" style="52" customWidth="1"/>
    <col min="6403" max="6404" width="0" style="52" hidden="1" customWidth="1"/>
    <col min="6405" max="6405" width="13.140625" style="52" customWidth="1"/>
    <col min="6406" max="6406" width="16.85546875" style="52" customWidth="1"/>
    <col min="6407" max="6656" width="9" style="52"/>
    <col min="6657" max="6657" width="36.140625" style="52" customWidth="1"/>
    <col min="6658" max="6658" width="39.85546875" style="52" customWidth="1"/>
    <col min="6659" max="6660" width="0" style="52" hidden="1" customWidth="1"/>
    <col min="6661" max="6661" width="13.140625" style="52" customWidth="1"/>
    <col min="6662" max="6662" width="16.85546875" style="52" customWidth="1"/>
    <col min="6663" max="6912" width="9" style="52"/>
    <col min="6913" max="6913" width="36.140625" style="52" customWidth="1"/>
    <col min="6914" max="6914" width="39.85546875" style="52" customWidth="1"/>
    <col min="6915" max="6916" width="0" style="52" hidden="1" customWidth="1"/>
    <col min="6917" max="6917" width="13.140625" style="52" customWidth="1"/>
    <col min="6918" max="6918" width="16.85546875" style="52" customWidth="1"/>
    <col min="6919" max="7168" width="9" style="52"/>
    <col min="7169" max="7169" width="36.140625" style="52" customWidth="1"/>
    <col min="7170" max="7170" width="39.85546875" style="52" customWidth="1"/>
    <col min="7171" max="7172" width="0" style="52" hidden="1" customWidth="1"/>
    <col min="7173" max="7173" width="13.140625" style="52" customWidth="1"/>
    <col min="7174" max="7174" width="16.85546875" style="52" customWidth="1"/>
    <col min="7175" max="7424" width="9" style="52"/>
    <col min="7425" max="7425" width="36.140625" style="52" customWidth="1"/>
    <col min="7426" max="7426" width="39.85546875" style="52" customWidth="1"/>
    <col min="7427" max="7428" width="0" style="52" hidden="1" customWidth="1"/>
    <col min="7429" max="7429" width="13.140625" style="52" customWidth="1"/>
    <col min="7430" max="7430" width="16.85546875" style="52" customWidth="1"/>
    <col min="7431" max="7680" width="9" style="52"/>
    <col min="7681" max="7681" width="36.140625" style="52" customWidth="1"/>
    <col min="7682" max="7682" width="39.85546875" style="52" customWidth="1"/>
    <col min="7683" max="7684" width="0" style="52" hidden="1" customWidth="1"/>
    <col min="7685" max="7685" width="13.140625" style="52" customWidth="1"/>
    <col min="7686" max="7686" width="16.85546875" style="52" customWidth="1"/>
    <col min="7687" max="7936" width="9" style="52"/>
    <col min="7937" max="7937" width="36.140625" style="52" customWidth="1"/>
    <col min="7938" max="7938" width="39.85546875" style="52" customWidth="1"/>
    <col min="7939" max="7940" width="0" style="52" hidden="1" customWidth="1"/>
    <col min="7941" max="7941" width="13.140625" style="52" customWidth="1"/>
    <col min="7942" max="7942" width="16.85546875" style="52" customWidth="1"/>
    <col min="7943" max="8192" width="9" style="52"/>
    <col min="8193" max="8193" width="36.140625" style="52" customWidth="1"/>
    <col min="8194" max="8194" width="39.85546875" style="52" customWidth="1"/>
    <col min="8195" max="8196" width="0" style="52" hidden="1" customWidth="1"/>
    <col min="8197" max="8197" width="13.140625" style="52" customWidth="1"/>
    <col min="8198" max="8198" width="16.85546875" style="52" customWidth="1"/>
    <col min="8199" max="8448" width="9" style="52"/>
    <col min="8449" max="8449" width="36.140625" style="52" customWidth="1"/>
    <col min="8450" max="8450" width="39.85546875" style="52" customWidth="1"/>
    <col min="8451" max="8452" width="0" style="52" hidden="1" customWidth="1"/>
    <col min="8453" max="8453" width="13.140625" style="52" customWidth="1"/>
    <col min="8454" max="8454" width="16.85546875" style="52" customWidth="1"/>
    <col min="8455" max="8704" width="9" style="52"/>
    <col min="8705" max="8705" width="36.140625" style="52" customWidth="1"/>
    <col min="8706" max="8706" width="39.85546875" style="52" customWidth="1"/>
    <col min="8707" max="8708" width="0" style="52" hidden="1" customWidth="1"/>
    <col min="8709" max="8709" width="13.140625" style="52" customWidth="1"/>
    <col min="8710" max="8710" width="16.85546875" style="52" customWidth="1"/>
    <col min="8711" max="8960" width="9" style="52"/>
    <col min="8961" max="8961" width="36.140625" style="52" customWidth="1"/>
    <col min="8962" max="8962" width="39.85546875" style="52" customWidth="1"/>
    <col min="8963" max="8964" width="0" style="52" hidden="1" customWidth="1"/>
    <col min="8965" max="8965" width="13.140625" style="52" customWidth="1"/>
    <col min="8966" max="8966" width="16.85546875" style="52" customWidth="1"/>
    <col min="8967" max="9216" width="9" style="52"/>
    <col min="9217" max="9217" width="36.140625" style="52" customWidth="1"/>
    <col min="9218" max="9218" width="39.85546875" style="52" customWidth="1"/>
    <col min="9219" max="9220" width="0" style="52" hidden="1" customWidth="1"/>
    <col min="9221" max="9221" width="13.140625" style="52" customWidth="1"/>
    <col min="9222" max="9222" width="16.85546875" style="52" customWidth="1"/>
    <col min="9223" max="9472" width="9" style="52"/>
    <col min="9473" max="9473" width="36.140625" style="52" customWidth="1"/>
    <col min="9474" max="9474" width="39.85546875" style="52" customWidth="1"/>
    <col min="9475" max="9476" width="0" style="52" hidden="1" customWidth="1"/>
    <col min="9477" max="9477" width="13.140625" style="52" customWidth="1"/>
    <col min="9478" max="9478" width="16.85546875" style="52" customWidth="1"/>
    <col min="9479" max="9728" width="9" style="52"/>
    <col min="9729" max="9729" width="36.140625" style="52" customWidth="1"/>
    <col min="9730" max="9730" width="39.85546875" style="52" customWidth="1"/>
    <col min="9731" max="9732" width="0" style="52" hidden="1" customWidth="1"/>
    <col min="9733" max="9733" width="13.140625" style="52" customWidth="1"/>
    <col min="9734" max="9734" width="16.85546875" style="52" customWidth="1"/>
    <col min="9735" max="9984" width="9" style="52"/>
    <col min="9985" max="9985" width="36.140625" style="52" customWidth="1"/>
    <col min="9986" max="9986" width="39.85546875" style="52" customWidth="1"/>
    <col min="9987" max="9988" width="0" style="52" hidden="1" customWidth="1"/>
    <col min="9989" max="9989" width="13.140625" style="52" customWidth="1"/>
    <col min="9990" max="9990" width="16.85546875" style="52" customWidth="1"/>
    <col min="9991" max="10240" width="9" style="52"/>
    <col min="10241" max="10241" width="36.140625" style="52" customWidth="1"/>
    <col min="10242" max="10242" width="39.85546875" style="52" customWidth="1"/>
    <col min="10243" max="10244" width="0" style="52" hidden="1" customWidth="1"/>
    <col min="10245" max="10245" width="13.140625" style="52" customWidth="1"/>
    <col min="10246" max="10246" width="16.85546875" style="52" customWidth="1"/>
    <col min="10247" max="10496" width="9" style="52"/>
    <col min="10497" max="10497" width="36.140625" style="52" customWidth="1"/>
    <col min="10498" max="10498" width="39.85546875" style="52" customWidth="1"/>
    <col min="10499" max="10500" width="0" style="52" hidden="1" customWidth="1"/>
    <col min="10501" max="10501" width="13.140625" style="52" customWidth="1"/>
    <col min="10502" max="10502" width="16.85546875" style="52" customWidth="1"/>
    <col min="10503" max="10752" width="9" style="52"/>
    <col min="10753" max="10753" width="36.140625" style="52" customWidth="1"/>
    <col min="10754" max="10754" width="39.85546875" style="52" customWidth="1"/>
    <col min="10755" max="10756" width="0" style="52" hidden="1" customWidth="1"/>
    <col min="10757" max="10757" width="13.140625" style="52" customWidth="1"/>
    <col min="10758" max="10758" width="16.85546875" style="52" customWidth="1"/>
    <col min="10759" max="11008" width="9" style="52"/>
    <col min="11009" max="11009" width="36.140625" style="52" customWidth="1"/>
    <col min="11010" max="11010" width="39.85546875" style="52" customWidth="1"/>
    <col min="11011" max="11012" width="0" style="52" hidden="1" customWidth="1"/>
    <col min="11013" max="11013" width="13.140625" style="52" customWidth="1"/>
    <col min="11014" max="11014" width="16.85546875" style="52" customWidth="1"/>
    <col min="11015" max="11264" width="9" style="52"/>
    <col min="11265" max="11265" width="36.140625" style="52" customWidth="1"/>
    <col min="11266" max="11266" width="39.85546875" style="52" customWidth="1"/>
    <col min="11267" max="11268" width="0" style="52" hidden="1" customWidth="1"/>
    <col min="11269" max="11269" width="13.140625" style="52" customWidth="1"/>
    <col min="11270" max="11270" width="16.85546875" style="52" customWidth="1"/>
    <col min="11271" max="11520" width="9" style="52"/>
    <col min="11521" max="11521" width="36.140625" style="52" customWidth="1"/>
    <col min="11522" max="11522" width="39.85546875" style="52" customWidth="1"/>
    <col min="11523" max="11524" width="0" style="52" hidden="1" customWidth="1"/>
    <col min="11525" max="11525" width="13.140625" style="52" customWidth="1"/>
    <col min="11526" max="11526" width="16.85546875" style="52" customWidth="1"/>
    <col min="11527" max="11776" width="9" style="52"/>
    <col min="11777" max="11777" width="36.140625" style="52" customWidth="1"/>
    <col min="11778" max="11778" width="39.85546875" style="52" customWidth="1"/>
    <col min="11779" max="11780" width="0" style="52" hidden="1" customWidth="1"/>
    <col min="11781" max="11781" width="13.140625" style="52" customWidth="1"/>
    <col min="11782" max="11782" width="16.85546875" style="52" customWidth="1"/>
    <col min="11783" max="12032" width="9" style="52"/>
    <col min="12033" max="12033" width="36.140625" style="52" customWidth="1"/>
    <col min="12034" max="12034" width="39.85546875" style="52" customWidth="1"/>
    <col min="12035" max="12036" width="0" style="52" hidden="1" customWidth="1"/>
    <col min="12037" max="12037" width="13.140625" style="52" customWidth="1"/>
    <col min="12038" max="12038" width="16.85546875" style="52" customWidth="1"/>
    <col min="12039" max="12288" width="9" style="52"/>
    <col min="12289" max="12289" width="36.140625" style="52" customWidth="1"/>
    <col min="12290" max="12290" width="39.85546875" style="52" customWidth="1"/>
    <col min="12291" max="12292" width="0" style="52" hidden="1" customWidth="1"/>
    <col min="12293" max="12293" width="13.140625" style="52" customWidth="1"/>
    <col min="12294" max="12294" width="16.85546875" style="52" customWidth="1"/>
    <col min="12295" max="12544" width="9" style="52"/>
    <col min="12545" max="12545" width="36.140625" style="52" customWidth="1"/>
    <col min="12546" max="12546" width="39.85546875" style="52" customWidth="1"/>
    <col min="12547" max="12548" width="0" style="52" hidden="1" customWidth="1"/>
    <col min="12549" max="12549" width="13.140625" style="52" customWidth="1"/>
    <col min="12550" max="12550" width="16.85546875" style="52" customWidth="1"/>
    <col min="12551" max="12800" width="9" style="52"/>
    <col min="12801" max="12801" width="36.140625" style="52" customWidth="1"/>
    <col min="12802" max="12802" width="39.85546875" style="52" customWidth="1"/>
    <col min="12803" max="12804" width="0" style="52" hidden="1" customWidth="1"/>
    <col min="12805" max="12805" width="13.140625" style="52" customWidth="1"/>
    <col min="12806" max="12806" width="16.85546875" style="52" customWidth="1"/>
    <col min="12807" max="13056" width="9" style="52"/>
    <col min="13057" max="13057" width="36.140625" style="52" customWidth="1"/>
    <col min="13058" max="13058" width="39.85546875" style="52" customWidth="1"/>
    <col min="13059" max="13060" width="0" style="52" hidden="1" customWidth="1"/>
    <col min="13061" max="13061" width="13.140625" style="52" customWidth="1"/>
    <col min="13062" max="13062" width="16.85546875" style="52" customWidth="1"/>
    <col min="13063" max="13312" width="9" style="52"/>
    <col min="13313" max="13313" width="36.140625" style="52" customWidth="1"/>
    <col min="13314" max="13314" width="39.85546875" style="52" customWidth="1"/>
    <col min="13315" max="13316" width="0" style="52" hidden="1" customWidth="1"/>
    <col min="13317" max="13317" width="13.140625" style="52" customWidth="1"/>
    <col min="13318" max="13318" width="16.85546875" style="52" customWidth="1"/>
    <col min="13319" max="13568" width="9" style="52"/>
    <col min="13569" max="13569" width="36.140625" style="52" customWidth="1"/>
    <col min="13570" max="13570" width="39.85546875" style="52" customWidth="1"/>
    <col min="13571" max="13572" width="0" style="52" hidden="1" customWidth="1"/>
    <col min="13573" max="13573" width="13.140625" style="52" customWidth="1"/>
    <col min="13574" max="13574" width="16.85546875" style="52" customWidth="1"/>
    <col min="13575" max="13824" width="9" style="52"/>
    <col min="13825" max="13825" width="36.140625" style="52" customWidth="1"/>
    <col min="13826" max="13826" width="39.85546875" style="52" customWidth="1"/>
    <col min="13827" max="13828" width="0" style="52" hidden="1" customWidth="1"/>
    <col min="13829" max="13829" width="13.140625" style="52" customWidth="1"/>
    <col min="13830" max="13830" width="16.85546875" style="52" customWidth="1"/>
    <col min="13831" max="14080" width="9" style="52"/>
    <col min="14081" max="14081" width="36.140625" style="52" customWidth="1"/>
    <col min="14082" max="14082" width="39.85546875" style="52" customWidth="1"/>
    <col min="14083" max="14084" width="0" style="52" hidden="1" customWidth="1"/>
    <col min="14085" max="14085" width="13.140625" style="52" customWidth="1"/>
    <col min="14086" max="14086" width="16.85546875" style="52" customWidth="1"/>
    <col min="14087" max="14336" width="9" style="52"/>
    <col min="14337" max="14337" width="36.140625" style="52" customWidth="1"/>
    <col min="14338" max="14338" width="39.85546875" style="52" customWidth="1"/>
    <col min="14339" max="14340" width="0" style="52" hidden="1" customWidth="1"/>
    <col min="14341" max="14341" width="13.140625" style="52" customWidth="1"/>
    <col min="14342" max="14342" width="16.85546875" style="52" customWidth="1"/>
    <col min="14343" max="14592" width="9" style="52"/>
    <col min="14593" max="14593" width="36.140625" style="52" customWidth="1"/>
    <col min="14594" max="14594" width="39.85546875" style="52" customWidth="1"/>
    <col min="14595" max="14596" width="0" style="52" hidden="1" customWidth="1"/>
    <col min="14597" max="14597" width="13.140625" style="52" customWidth="1"/>
    <col min="14598" max="14598" width="16.85546875" style="52" customWidth="1"/>
    <col min="14599" max="14848" width="9" style="52"/>
    <col min="14849" max="14849" width="36.140625" style="52" customWidth="1"/>
    <col min="14850" max="14850" width="39.85546875" style="52" customWidth="1"/>
    <col min="14851" max="14852" width="0" style="52" hidden="1" customWidth="1"/>
    <col min="14853" max="14853" width="13.140625" style="52" customWidth="1"/>
    <col min="14854" max="14854" width="16.85546875" style="52" customWidth="1"/>
    <col min="14855" max="15104" width="9" style="52"/>
    <col min="15105" max="15105" width="36.140625" style="52" customWidth="1"/>
    <col min="15106" max="15106" width="39.85546875" style="52" customWidth="1"/>
    <col min="15107" max="15108" width="0" style="52" hidden="1" customWidth="1"/>
    <col min="15109" max="15109" width="13.140625" style="52" customWidth="1"/>
    <col min="15110" max="15110" width="16.85546875" style="52" customWidth="1"/>
    <col min="15111" max="15360" width="9" style="52"/>
    <col min="15361" max="15361" width="36.140625" style="52" customWidth="1"/>
    <col min="15362" max="15362" width="39.85546875" style="52" customWidth="1"/>
    <col min="15363" max="15364" width="0" style="52" hidden="1" customWidth="1"/>
    <col min="15365" max="15365" width="13.140625" style="52" customWidth="1"/>
    <col min="15366" max="15366" width="16.85546875" style="52" customWidth="1"/>
    <col min="15367" max="15616" width="9" style="52"/>
    <col min="15617" max="15617" width="36.140625" style="52" customWidth="1"/>
    <col min="15618" max="15618" width="39.85546875" style="52" customWidth="1"/>
    <col min="15619" max="15620" width="0" style="52" hidden="1" customWidth="1"/>
    <col min="15621" max="15621" width="13.140625" style="52" customWidth="1"/>
    <col min="15622" max="15622" width="16.85546875" style="52" customWidth="1"/>
    <col min="15623" max="15872" width="9" style="52"/>
    <col min="15873" max="15873" width="36.140625" style="52" customWidth="1"/>
    <col min="15874" max="15874" width="39.85546875" style="52" customWidth="1"/>
    <col min="15875" max="15876" width="0" style="52" hidden="1" customWidth="1"/>
    <col min="15877" max="15877" width="13.140625" style="52" customWidth="1"/>
    <col min="15878" max="15878" width="16.85546875" style="52" customWidth="1"/>
    <col min="15879" max="16128" width="9" style="52"/>
    <col min="16129" max="16129" width="36.140625" style="52" customWidth="1"/>
    <col min="16130" max="16130" width="39.85546875" style="52" customWidth="1"/>
    <col min="16131" max="16132" width="0" style="52" hidden="1" customWidth="1"/>
    <col min="16133" max="16133" width="13.140625" style="52" customWidth="1"/>
    <col min="16134" max="16134" width="16.85546875" style="52" customWidth="1"/>
    <col min="16135" max="16384" width="9" style="52"/>
  </cols>
  <sheetData>
    <row r="1" spans="1:6" ht="13.5" thickBot="1" x14ac:dyDescent="0.25"/>
    <row r="2" spans="1:6" ht="15" x14ac:dyDescent="0.25">
      <c r="A2" s="53"/>
      <c r="B2" s="54"/>
      <c r="C2" s="54"/>
      <c r="D2" s="54"/>
      <c r="E2" s="54"/>
      <c r="F2" s="55"/>
    </row>
    <row r="3" spans="1:6" ht="15" x14ac:dyDescent="0.25">
      <c r="A3" s="56"/>
      <c r="B3" s="57"/>
      <c r="C3" s="57"/>
      <c r="D3" s="57"/>
      <c r="E3" s="57"/>
      <c r="F3" s="58"/>
    </row>
    <row r="4" spans="1:6" ht="15" x14ac:dyDescent="0.25">
      <c r="A4" s="56"/>
      <c r="B4" s="57"/>
      <c r="C4" s="57"/>
      <c r="D4" s="57"/>
      <c r="E4" s="57"/>
      <c r="F4" s="58"/>
    </row>
    <row r="5" spans="1:6" ht="15" x14ac:dyDescent="0.25">
      <c r="A5" s="59" t="s">
        <v>148</v>
      </c>
      <c r="B5" s="60"/>
      <c r="C5" s="61"/>
      <c r="D5" s="61"/>
      <c r="E5" s="61"/>
      <c r="F5" s="62"/>
    </row>
    <row r="6" spans="1:6" ht="15" x14ac:dyDescent="0.25">
      <c r="A6" s="59" t="s">
        <v>149</v>
      </c>
      <c r="B6" s="60"/>
      <c r="C6" s="61"/>
      <c r="D6" s="61"/>
      <c r="E6" s="61"/>
      <c r="F6" s="62"/>
    </row>
    <row r="7" spans="1:6" ht="15" x14ac:dyDescent="0.25">
      <c r="A7" s="59" t="s">
        <v>150</v>
      </c>
      <c r="B7" s="60"/>
      <c r="C7" s="61"/>
      <c r="D7" s="61"/>
      <c r="E7" s="61"/>
      <c r="F7" s="62"/>
    </row>
    <row r="8" spans="1:6" x14ac:dyDescent="0.2">
      <c r="A8" s="618"/>
      <c r="B8" s="619"/>
      <c r="C8" s="619"/>
      <c r="D8" s="619"/>
      <c r="E8" s="619"/>
      <c r="F8" s="620"/>
    </row>
    <row r="9" spans="1:6" x14ac:dyDescent="0.2">
      <c r="A9" s="621"/>
      <c r="B9" s="622"/>
      <c r="C9" s="622"/>
      <c r="D9" s="622"/>
      <c r="E9" s="622"/>
      <c r="F9" s="623"/>
    </row>
    <row r="10" spans="1:6" ht="15.75" x14ac:dyDescent="0.2">
      <c r="A10" s="624" t="s">
        <v>151</v>
      </c>
      <c r="B10" s="625"/>
      <c r="C10" s="625"/>
      <c r="D10" s="625"/>
      <c r="E10" s="625"/>
      <c r="F10" s="626"/>
    </row>
    <row r="11" spans="1:6" ht="15.75" x14ac:dyDescent="0.2">
      <c r="A11" s="64"/>
      <c r="B11" s="63"/>
      <c r="C11" s="627" t="s">
        <v>152</v>
      </c>
      <c r="D11" s="628"/>
      <c r="E11" s="627" t="s">
        <v>153</v>
      </c>
      <c r="F11" s="626"/>
    </row>
    <row r="12" spans="1:6" ht="15" x14ac:dyDescent="0.2">
      <c r="A12" s="629"/>
      <c r="B12" s="630"/>
      <c r="C12" s="630"/>
      <c r="D12" s="630"/>
      <c r="E12" s="630"/>
      <c r="F12" s="631"/>
    </row>
    <row r="13" spans="1:6" x14ac:dyDescent="0.2">
      <c r="A13" s="632"/>
      <c r="B13" s="633"/>
      <c r="C13" s="634" t="s">
        <v>154</v>
      </c>
      <c r="D13" s="634" t="s">
        <v>155</v>
      </c>
      <c r="E13" s="634" t="s">
        <v>154</v>
      </c>
      <c r="F13" s="635" t="s">
        <v>155</v>
      </c>
    </row>
    <row r="14" spans="1:6" x14ac:dyDescent="0.2">
      <c r="A14" s="632"/>
      <c r="B14" s="633"/>
      <c r="C14" s="634"/>
      <c r="D14" s="634"/>
      <c r="E14" s="634"/>
      <c r="F14" s="635"/>
    </row>
    <row r="15" spans="1:6" ht="15.75" x14ac:dyDescent="0.2">
      <c r="A15" s="624" t="s">
        <v>156</v>
      </c>
      <c r="B15" s="625"/>
      <c r="C15" s="625"/>
      <c r="D15" s="625"/>
      <c r="E15" s="625"/>
      <c r="F15" s="626"/>
    </row>
    <row r="16" spans="1:6" ht="15" x14ac:dyDescent="0.2">
      <c r="A16" s="66" t="s">
        <v>157</v>
      </c>
      <c r="B16" s="67" t="s">
        <v>158</v>
      </c>
      <c r="C16" s="68">
        <v>0</v>
      </c>
      <c r="D16" s="68">
        <v>0</v>
      </c>
      <c r="E16" s="68">
        <v>20</v>
      </c>
      <c r="F16" s="69">
        <v>20</v>
      </c>
    </row>
    <row r="17" spans="1:6" ht="15" x14ac:dyDescent="0.2">
      <c r="A17" s="70" t="s">
        <v>159</v>
      </c>
      <c r="B17" s="71" t="s">
        <v>160</v>
      </c>
      <c r="C17" s="72">
        <v>1.5</v>
      </c>
      <c r="D17" s="72">
        <v>1.5</v>
      </c>
      <c r="E17" s="72">
        <v>1.5</v>
      </c>
      <c r="F17" s="73">
        <v>1.5</v>
      </c>
    </row>
    <row r="18" spans="1:6" ht="15" x14ac:dyDescent="0.2">
      <c r="A18" s="70" t="s">
        <v>161</v>
      </c>
      <c r="B18" s="71" t="s">
        <v>162</v>
      </c>
      <c r="C18" s="72">
        <v>1</v>
      </c>
      <c r="D18" s="72">
        <v>1</v>
      </c>
      <c r="E18" s="72">
        <v>1</v>
      </c>
      <c r="F18" s="73">
        <v>1</v>
      </c>
    </row>
    <row r="19" spans="1:6" ht="15" x14ac:dyDescent="0.2">
      <c r="A19" s="70" t="s">
        <v>163</v>
      </c>
      <c r="B19" s="71" t="s">
        <v>164</v>
      </c>
      <c r="C19" s="72">
        <v>0.2</v>
      </c>
      <c r="D19" s="72">
        <v>0.2</v>
      </c>
      <c r="E19" s="72">
        <v>0.2</v>
      </c>
      <c r="F19" s="73">
        <v>0.2</v>
      </c>
    </row>
    <row r="20" spans="1:6" ht="15" x14ac:dyDescent="0.2">
      <c r="A20" s="70" t="s">
        <v>165</v>
      </c>
      <c r="B20" s="71" t="s">
        <v>166</v>
      </c>
      <c r="C20" s="72">
        <v>0.6</v>
      </c>
      <c r="D20" s="72">
        <v>0.6</v>
      </c>
      <c r="E20" s="72">
        <v>0.6</v>
      </c>
      <c r="F20" s="73">
        <v>0.6</v>
      </c>
    </row>
    <row r="21" spans="1:6" ht="15" x14ac:dyDescent="0.2">
      <c r="A21" s="70" t="s">
        <v>167</v>
      </c>
      <c r="B21" s="71" t="s">
        <v>168</v>
      </c>
      <c r="C21" s="72">
        <v>2.5</v>
      </c>
      <c r="D21" s="72">
        <v>2.5</v>
      </c>
      <c r="E21" s="72">
        <v>2.5</v>
      </c>
      <c r="F21" s="73">
        <v>2.5</v>
      </c>
    </row>
    <row r="22" spans="1:6" ht="15" x14ac:dyDescent="0.2">
      <c r="A22" s="70" t="s">
        <v>169</v>
      </c>
      <c r="B22" s="71" t="s">
        <v>170</v>
      </c>
      <c r="C22" s="72">
        <v>3</v>
      </c>
      <c r="D22" s="72">
        <v>3</v>
      </c>
      <c r="E22" s="72">
        <v>3</v>
      </c>
      <c r="F22" s="73">
        <v>3</v>
      </c>
    </row>
    <row r="23" spans="1:6" ht="15" x14ac:dyDescent="0.2">
      <c r="A23" s="70" t="s">
        <v>171</v>
      </c>
      <c r="B23" s="71" t="s">
        <v>172</v>
      </c>
      <c r="C23" s="72">
        <v>8</v>
      </c>
      <c r="D23" s="72">
        <v>8</v>
      </c>
      <c r="E23" s="72">
        <v>8</v>
      </c>
      <c r="F23" s="73">
        <v>8</v>
      </c>
    </row>
    <row r="24" spans="1:6" ht="15" x14ac:dyDescent="0.2">
      <c r="A24" s="74" t="s">
        <v>173</v>
      </c>
      <c r="B24" s="75" t="s">
        <v>174</v>
      </c>
      <c r="C24" s="76">
        <v>0</v>
      </c>
      <c r="D24" s="76">
        <v>0</v>
      </c>
      <c r="E24" s="76">
        <v>0</v>
      </c>
      <c r="F24" s="77">
        <v>0</v>
      </c>
    </row>
    <row r="25" spans="1:6" ht="15.75" x14ac:dyDescent="0.2">
      <c r="A25" s="65" t="s">
        <v>175</v>
      </c>
      <c r="B25" s="78" t="s">
        <v>17</v>
      </c>
      <c r="C25" s="79">
        <f t="shared" ref="C25:F25" si="0">SUM(C16:C24)</f>
        <v>16.8</v>
      </c>
      <c r="D25" s="79">
        <f t="shared" si="0"/>
        <v>16.8</v>
      </c>
      <c r="E25" s="79">
        <f t="shared" si="0"/>
        <v>36.799999999999997</v>
      </c>
      <c r="F25" s="80">
        <f t="shared" si="0"/>
        <v>36.799999999999997</v>
      </c>
    </row>
    <row r="26" spans="1:6" ht="15.75" x14ac:dyDescent="0.2">
      <c r="A26" s="624" t="s">
        <v>176</v>
      </c>
      <c r="B26" s="625"/>
      <c r="C26" s="625"/>
      <c r="D26" s="625"/>
      <c r="E26" s="625"/>
      <c r="F26" s="626"/>
    </row>
    <row r="27" spans="1:6" ht="15" x14ac:dyDescent="0.2">
      <c r="A27" s="66" t="s">
        <v>177</v>
      </c>
      <c r="B27" s="67" t="s">
        <v>178</v>
      </c>
      <c r="C27" s="68">
        <v>17.97</v>
      </c>
      <c r="D27" s="68" t="s">
        <v>179</v>
      </c>
      <c r="E27" s="68">
        <v>17.97</v>
      </c>
      <c r="F27" s="69" t="s">
        <v>179</v>
      </c>
    </row>
    <row r="28" spans="1:6" ht="15" x14ac:dyDescent="0.2">
      <c r="A28" s="70" t="s">
        <v>180</v>
      </c>
      <c r="B28" s="71" t="s">
        <v>181</v>
      </c>
      <c r="C28" s="72">
        <v>3.96</v>
      </c>
      <c r="D28" s="72" t="s">
        <v>179</v>
      </c>
      <c r="E28" s="72">
        <v>3.96</v>
      </c>
      <c r="F28" s="73" t="s">
        <v>179</v>
      </c>
    </row>
    <row r="29" spans="1:6" ht="15" x14ac:dyDescent="0.2">
      <c r="A29" s="70" t="s">
        <v>182</v>
      </c>
      <c r="B29" s="71" t="s">
        <v>183</v>
      </c>
      <c r="C29" s="72">
        <v>0.86</v>
      </c>
      <c r="D29" s="72">
        <v>0.66</v>
      </c>
      <c r="E29" s="72">
        <v>0.86</v>
      </c>
      <c r="F29" s="73">
        <v>0.66</v>
      </c>
    </row>
    <row r="30" spans="1:6" ht="15" x14ac:dyDescent="0.2">
      <c r="A30" s="70" t="s">
        <v>184</v>
      </c>
      <c r="B30" s="71" t="s">
        <v>185</v>
      </c>
      <c r="C30" s="72">
        <v>10.97</v>
      </c>
      <c r="D30" s="72">
        <v>8.33</v>
      </c>
      <c r="E30" s="72">
        <v>10.97</v>
      </c>
      <c r="F30" s="73">
        <v>8.33</v>
      </c>
    </row>
    <row r="31" spans="1:6" ht="15" x14ac:dyDescent="0.2">
      <c r="A31" s="70" t="s">
        <v>186</v>
      </c>
      <c r="B31" s="71" t="s">
        <v>187</v>
      </c>
      <c r="C31" s="72">
        <v>7.0000000000000007E-2</v>
      </c>
      <c r="D31" s="72">
        <v>0.06</v>
      </c>
      <c r="E31" s="72">
        <v>7.0000000000000007E-2</v>
      </c>
      <c r="F31" s="73">
        <v>0.06</v>
      </c>
    </row>
    <row r="32" spans="1:6" ht="15" x14ac:dyDescent="0.2">
      <c r="A32" s="70" t="s">
        <v>188</v>
      </c>
      <c r="B32" s="71" t="s">
        <v>189</v>
      </c>
      <c r="C32" s="72">
        <v>0.73</v>
      </c>
      <c r="D32" s="72">
        <v>0.56000000000000005</v>
      </c>
      <c r="E32" s="72">
        <v>0.73</v>
      </c>
      <c r="F32" s="73">
        <v>0.56000000000000005</v>
      </c>
    </row>
    <row r="33" spans="1:6" ht="15" x14ac:dyDescent="0.2">
      <c r="A33" s="70" t="s">
        <v>190</v>
      </c>
      <c r="B33" s="71" t="s">
        <v>191</v>
      </c>
      <c r="C33" s="72">
        <v>2.04</v>
      </c>
      <c r="D33" s="72" t="s">
        <v>179</v>
      </c>
      <c r="E33" s="72">
        <v>2.04</v>
      </c>
      <c r="F33" s="73" t="s">
        <v>179</v>
      </c>
    </row>
    <row r="34" spans="1:6" ht="15" x14ac:dyDescent="0.2">
      <c r="A34" s="70" t="s">
        <v>192</v>
      </c>
      <c r="B34" s="71" t="s">
        <v>193</v>
      </c>
      <c r="C34" s="72">
        <v>0.1</v>
      </c>
      <c r="D34" s="72">
        <v>0.08</v>
      </c>
      <c r="E34" s="72">
        <v>0.1</v>
      </c>
      <c r="F34" s="73">
        <v>0.08</v>
      </c>
    </row>
    <row r="35" spans="1:6" ht="15" x14ac:dyDescent="0.2">
      <c r="A35" s="70" t="s">
        <v>194</v>
      </c>
      <c r="B35" s="71" t="s">
        <v>195</v>
      </c>
      <c r="C35" s="72">
        <v>10.34</v>
      </c>
      <c r="D35" s="72">
        <v>7.85</v>
      </c>
      <c r="E35" s="72">
        <v>10.34</v>
      </c>
      <c r="F35" s="73">
        <v>7.85</v>
      </c>
    </row>
    <row r="36" spans="1:6" ht="15" x14ac:dyDescent="0.2">
      <c r="A36" s="74" t="s">
        <v>196</v>
      </c>
      <c r="B36" s="75" t="s">
        <v>197</v>
      </c>
      <c r="C36" s="76">
        <v>0.03</v>
      </c>
      <c r="D36" s="76">
        <v>0.02</v>
      </c>
      <c r="E36" s="76">
        <v>0.03</v>
      </c>
      <c r="F36" s="77">
        <v>0.02</v>
      </c>
    </row>
    <row r="37" spans="1:6" ht="15.75" x14ac:dyDescent="0.2">
      <c r="A37" s="65" t="s">
        <v>198</v>
      </c>
      <c r="B37" s="78" t="s">
        <v>199</v>
      </c>
      <c r="C37" s="79">
        <f t="shared" ref="C37:F37" si="1">SUM(C27:C36)</f>
        <v>47.069999999999993</v>
      </c>
      <c r="D37" s="79">
        <f t="shared" si="1"/>
        <v>17.559999999999999</v>
      </c>
      <c r="E37" s="79">
        <f t="shared" si="1"/>
        <v>47.069999999999993</v>
      </c>
      <c r="F37" s="80">
        <f t="shared" si="1"/>
        <v>17.559999999999999</v>
      </c>
    </row>
    <row r="38" spans="1:6" ht="15.75" x14ac:dyDescent="0.2">
      <c r="A38" s="624" t="s">
        <v>200</v>
      </c>
      <c r="B38" s="625"/>
      <c r="C38" s="625"/>
      <c r="D38" s="625"/>
      <c r="E38" s="625"/>
      <c r="F38" s="626"/>
    </row>
    <row r="39" spans="1:6" ht="15" x14ac:dyDescent="0.2">
      <c r="A39" s="66" t="s">
        <v>201</v>
      </c>
      <c r="B39" s="67" t="s">
        <v>202</v>
      </c>
      <c r="C39" s="68">
        <v>5.44</v>
      </c>
      <c r="D39" s="68">
        <v>4.13</v>
      </c>
      <c r="E39" s="68">
        <v>5.44</v>
      </c>
      <c r="F39" s="69">
        <v>4.13</v>
      </c>
    </row>
    <row r="40" spans="1:6" ht="15" x14ac:dyDescent="0.2">
      <c r="A40" s="70" t="s">
        <v>203</v>
      </c>
      <c r="B40" s="71" t="s">
        <v>204</v>
      </c>
      <c r="C40" s="72">
        <v>0.13</v>
      </c>
      <c r="D40" s="72">
        <v>0.1</v>
      </c>
      <c r="E40" s="72">
        <v>0.13</v>
      </c>
      <c r="F40" s="73">
        <v>0.1</v>
      </c>
    </row>
    <row r="41" spans="1:6" ht="15" x14ac:dyDescent="0.2">
      <c r="A41" s="70" t="s">
        <v>205</v>
      </c>
      <c r="B41" s="71" t="s">
        <v>206</v>
      </c>
      <c r="C41" s="72">
        <v>3.41</v>
      </c>
      <c r="D41" s="72">
        <v>2.59</v>
      </c>
      <c r="E41" s="72">
        <v>3.41</v>
      </c>
      <c r="F41" s="73">
        <v>2.59</v>
      </c>
    </row>
    <row r="42" spans="1:6" ht="15" x14ac:dyDescent="0.2">
      <c r="A42" s="70" t="s">
        <v>207</v>
      </c>
      <c r="B42" s="71" t="s">
        <v>208</v>
      </c>
      <c r="C42" s="72">
        <v>3.36</v>
      </c>
      <c r="D42" s="72">
        <v>2.5499999999999998</v>
      </c>
      <c r="E42" s="72">
        <v>3.36</v>
      </c>
      <c r="F42" s="73">
        <v>2.5499999999999998</v>
      </c>
    </row>
    <row r="43" spans="1:6" ht="15" x14ac:dyDescent="0.2">
      <c r="A43" s="74" t="s">
        <v>209</v>
      </c>
      <c r="B43" s="75" t="s">
        <v>210</v>
      </c>
      <c r="C43" s="76">
        <v>0.46</v>
      </c>
      <c r="D43" s="76">
        <v>0.35</v>
      </c>
      <c r="E43" s="76">
        <v>0.46</v>
      </c>
      <c r="F43" s="77">
        <v>0.35</v>
      </c>
    </row>
    <row r="44" spans="1:6" ht="15.75" x14ac:dyDescent="0.2">
      <c r="A44" s="65" t="s">
        <v>211</v>
      </c>
      <c r="B44" s="78" t="s">
        <v>199</v>
      </c>
      <c r="C44" s="79">
        <f t="shared" ref="C44:F44" si="2">SUM(C39:C43)</f>
        <v>12.8</v>
      </c>
      <c r="D44" s="79">
        <f t="shared" si="2"/>
        <v>9.7199999999999989</v>
      </c>
      <c r="E44" s="79">
        <f t="shared" si="2"/>
        <v>12.8</v>
      </c>
      <c r="F44" s="80">
        <f t="shared" si="2"/>
        <v>9.7199999999999989</v>
      </c>
    </row>
    <row r="45" spans="1:6" ht="15.75" x14ac:dyDescent="0.2">
      <c r="A45" s="624" t="s">
        <v>212</v>
      </c>
      <c r="B45" s="625"/>
      <c r="C45" s="625"/>
      <c r="D45" s="625"/>
      <c r="E45" s="625"/>
      <c r="F45" s="626"/>
    </row>
    <row r="46" spans="1:6" ht="15" x14ac:dyDescent="0.2">
      <c r="A46" s="66" t="s">
        <v>213</v>
      </c>
      <c r="B46" s="67" t="s">
        <v>214</v>
      </c>
      <c r="C46" s="68">
        <v>7.91</v>
      </c>
      <c r="D46" s="68">
        <v>2.95</v>
      </c>
      <c r="E46" s="68">
        <v>17.32</v>
      </c>
      <c r="F46" s="69">
        <v>6.46</v>
      </c>
    </row>
    <row r="47" spans="1:6" ht="76.5" customHeight="1" x14ac:dyDescent="0.2">
      <c r="A47" s="81" t="s">
        <v>215</v>
      </c>
      <c r="B47" s="82" t="s">
        <v>216</v>
      </c>
      <c r="C47" s="76">
        <v>0.46</v>
      </c>
      <c r="D47" s="76">
        <v>0.35</v>
      </c>
      <c r="E47" s="76">
        <v>0.48</v>
      </c>
      <c r="F47" s="77">
        <v>0.37</v>
      </c>
    </row>
    <row r="48" spans="1:6" ht="15.75" x14ac:dyDescent="0.2">
      <c r="A48" s="65" t="s">
        <v>217</v>
      </c>
      <c r="B48" s="78" t="s">
        <v>17</v>
      </c>
      <c r="C48" s="79">
        <f t="shared" ref="C48:F48" si="3">SUM(C46:C47)</f>
        <v>8.370000000000001</v>
      </c>
      <c r="D48" s="79">
        <f t="shared" si="3"/>
        <v>3.3000000000000003</v>
      </c>
      <c r="E48" s="79">
        <f t="shared" si="3"/>
        <v>17.8</v>
      </c>
      <c r="F48" s="80">
        <f t="shared" si="3"/>
        <v>6.83</v>
      </c>
    </row>
    <row r="49" spans="1:6" ht="15" x14ac:dyDescent="0.2">
      <c r="A49" s="629"/>
      <c r="B49" s="630"/>
      <c r="C49" s="630"/>
      <c r="D49" s="630"/>
      <c r="E49" s="630"/>
      <c r="F49" s="631"/>
    </row>
    <row r="50" spans="1:6" ht="16.5" thickBot="1" x14ac:dyDescent="0.25">
      <c r="A50" s="616" t="s">
        <v>218</v>
      </c>
      <c r="B50" s="617"/>
      <c r="C50" s="83">
        <f>C25+C37+C44+C48</f>
        <v>85.039999999999992</v>
      </c>
      <c r="D50" s="83">
        <f>D25+D37+D44+D48</f>
        <v>47.379999999999995</v>
      </c>
      <c r="E50" s="84">
        <f>(E25+E37+E44+E48)/100</f>
        <v>1.1446999999999998</v>
      </c>
      <c r="F50" s="85">
        <f>(F25+F37+F44+F48)/100</f>
        <v>0.70909999999999995</v>
      </c>
    </row>
    <row r="51" spans="1:6" ht="15" x14ac:dyDescent="0.2">
      <c r="A51" s="86"/>
      <c r="B51" s="86"/>
      <c r="C51" s="86"/>
      <c r="D51" s="86"/>
      <c r="E51" s="86"/>
      <c r="F51" s="86"/>
    </row>
  </sheetData>
  <mergeCells count="16">
    <mergeCell ref="A50:B50"/>
    <mergeCell ref="A8:F9"/>
    <mergeCell ref="A10:F10"/>
    <mergeCell ref="C11:D11"/>
    <mergeCell ref="E11:F11"/>
    <mergeCell ref="A12:F12"/>
    <mergeCell ref="A13:B14"/>
    <mergeCell ref="C13:C14"/>
    <mergeCell ref="D13:D14"/>
    <mergeCell ref="E13:E14"/>
    <mergeCell ref="F13:F14"/>
    <mergeCell ref="A15:F15"/>
    <mergeCell ref="A26:F26"/>
    <mergeCell ref="A38:F38"/>
    <mergeCell ref="A45:F45"/>
    <mergeCell ref="A49:F49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Orçamento_Resumo</vt:lpstr>
      <vt:lpstr>Orçamento_Sintético</vt:lpstr>
      <vt:lpstr>Cronograma</vt:lpstr>
      <vt:lpstr>CPU serviços</vt:lpstr>
      <vt:lpstr>CPU Codevasf</vt:lpstr>
      <vt:lpstr>MEMORIA DE CALCULO</vt:lpstr>
      <vt:lpstr>BDI</vt:lpstr>
      <vt:lpstr>Encargos Sociais</vt:lpstr>
      <vt:lpstr>'CPU serviços'!Area_de_impressao</vt:lpstr>
      <vt:lpstr>Cronograma!Area_de_impressao</vt:lpstr>
      <vt:lpstr>Orçamento_Resumo!Area_de_impressao</vt:lpstr>
      <vt:lpstr>Orçamento_Sintético!Area_de_impressao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Junqueira de Morais Munhoz</dc:creator>
  <cp:lastModifiedBy>Helton Pereira Paiva da Cruz</cp:lastModifiedBy>
  <cp:lastPrinted>2023-09-21T18:52:35Z</cp:lastPrinted>
  <dcterms:created xsi:type="dcterms:W3CDTF">2023-08-09T12:55:04Z</dcterms:created>
  <dcterms:modified xsi:type="dcterms:W3CDTF">2023-10-03T20:12:43Z</dcterms:modified>
</cp:coreProperties>
</file>