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10.1.50.61\Armazenamento\2ª_GRD\05-LICITAÇÕES 2023\29-REGULARIZAÇÃO DE SUBLEITO E REVESTIMENTO PRIMÁRIO\01 - ARQUIVOS EDITÁVEIS\"/>
    </mc:Choice>
  </mc:AlternateContent>
  <xr:revisionPtr revIDLastSave="0" documentId="13_ncr:1_{15444FD3-8894-4A34-8DDE-77F553D84489}" xr6:coauthVersionLast="47" xr6:coauthVersionMax="47" xr10:uidLastSave="{00000000-0000-0000-0000-000000000000}"/>
  <bookViews>
    <workbookView xWindow="-120" yWindow="-120" windowWidth="25440" windowHeight="15270" tabRatio="914" firstSheet="1" activeTab="1" xr2:uid="{00000000-000D-0000-FFFF-FFFF00000000}"/>
  </bookViews>
  <sheets>
    <sheet name="RESUMO" sheetId="23" r:id="rId1"/>
    <sheet name="PLANILHA GLOBAL" sheetId="20" r:id="rId2"/>
    <sheet name="MÓDULO MÍNIMO" sheetId="13" r:id="rId3"/>
    <sheet name="CRONO FISICO-FINANCEIRO" sheetId="19" r:id="rId4"/>
    <sheet name="MEMÓRIA DE CÁLCULOS" sheetId="16" r:id="rId5"/>
    <sheet name="COMPOSIÇÃO PROJETO EXECUTIVO" sheetId="24" r:id="rId6"/>
    <sheet name="COMPOSIÇÕES SICRO" sheetId="10" r:id="rId7"/>
    <sheet name="COMPOSIÇÕES SINAPI" sheetId="14" r:id="rId8"/>
    <sheet name="COMPOSIÇÕES ENSAIOS" sheetId="22" r:id="rId9"/>
    <sheet name="CUSTOS SICRO - SINAPI - ORSE" sheetId="11" r:id="rId10"/>
    <sheet name="Mobilização" sheetId="6" r:id="rId11"/>
    <sheet name="DET. ENCARGOS" sheetId="18" r:id="rId12"/>
    <sheet name="BDI" sheetId="1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\A" localSheetId="8">[1]SERVIÇO!#REF!</definedName>
    <definedName name="__\B" localSheetId="8">[1]SERVIÇO!#REF!</definedName>
    <definedName name="___\C">[1]SERVIÇO!#REF!</definedName>
    <definedName name="___\I">[1]SERVIÇO!#REF!</definedName>
    <definedName name="___\J">[1]SERVIÇO!#REF!</definedName>
    <definedName name="___\O">[1]SERVIÇO!#REF!</definedName>
    <definedName name="___\P">[1]SERVIÇO!#REF!</definedName>
    <definedName name="____\A">[1]SERVIÇO!#REF!</definedName>
    <definedName name="____\B">[1]SERVIÇO!#REF!</definedName>
    <definedName name="___aga14">#REF!</definedName>
    <definedName name="___bur3220">#REF!</definedName>
    <definedName name="___cap20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jm10">#REF!</definedName>
    <definedName name="___djm15">#REF!</definedName>
    <definedName name="___epl2">#REF!</definedName>
    <definedName name="___epl5">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la20">#REF!</definedName>
    <definedName name="___jla32">#REF!</definedName>
    <definedName name="___lpi100">#REF!</definedName>
    <definedName name="___lvg10060">#REF!</definedName>
    <definedName name="___lvp32">#REF!</definedName>
    <definedName name="___man50">#REF!</definedName>
    <definedName name="___ope1">#REF!</definedName>
    <definedName name="___ope2">#REF!</definedName>
    <definedName name="___ope3">#REF!</definedName>
    <definedName name="___pne1">#REF!</definedName>
    <definedName name="___pne2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gf60">#REF!</definedName>
    <definedName name="___rgp1">#REF!</definedName>
    <definedName name="___tap100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ea32">#REF!</definedName>
    <definedName name="___tea4560">#REF!</definedName>
    <definedName name="___tee100">#REF!</definedName>
    <definedName name="___ter10050">#REF!</definedName>
    <definedName name="___tlf6">#REF!</definedName>
    <definedName name="___tub10012">#REF!</definedName>
    <definedName name="___tub10015">#REF!</definedName>
    <definedName name="___tub10020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_xlnm.Print_Area_3">#REF!</definedName>
    <definedName name="___xlnm.Print_Area_4">#REF!</definedName>
    <definedName name="__aga14">#REF!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jm10">#REF!</definedName>
    <definedName name="__djm15">#REF!</definedName>
    <definedName name="__epl2">#REF!</definedName>
    <definedName name="__epl5">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tu1">#REF!</definedName>
    <definedName name="__jla20">#REF!</definedName>
    <definedName name="__jla32">#REF!</definedName>
    <definedName name="__lpi100">#REF!</definedName>
    <definedName name="__lvg10060">#REF!</definedName>
    <definedName name="__lvp32">#REF!</definedName>
    <definedName name="__man50">#REF!</definedName>
    <definedName name="__ope1">#REF!</definedName>
    <definedName name="__ope2">#REF!</definedName>
    <definedName name="__ope3">#REF!</definedName>
    <definedName name="__pne1">#REF!</definedName>
    <definedName name="__pne2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gf60">#REF!</definedName>
    <definedName name="__rgp1">#REF!</definedName>
    <definedName name="__tap100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ea32">#REF!</definedName>
    <definedName name="__tea4560">#REF!</definedName>
    <definedName name="__tee100">#REF!</definedName>
    <definedName name="__ter10050">#REF!</definedName>
    <definedName name="__tlf6">#REF!</definedName>
    <definedName name="__tub10012">#REF!</definedName>
    <definedName name="__tub10015">#REF!</definedName>
    <definedName name="__tub10020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nm.Print_Area_3">#REF!</definedName>
    <definedName name="__xlnm.Print_Area_4">#REF!</definedName>
    <definedName name="_01_09_96" localSheetId="8">#REF!</definedName>
    <definedName name="_01_09_96">#REF!</definedName>
    <definedName name="_10af_4" localSheetId="12">#REF!</definedName>
    <definedName name="_10af_4" localSheetId="7">#REF!</definedName>
    <definedName name="_10af_4" localSheetId="3">#REF!</definedName>
    <definedName name="_10af_4" localSheetId="11">#REF!</definedName>
    <definedName name="_10af_4">#REF!</definedName>
    <definedName name="_11ag_1" localSheetId="12">#REF!</definedName>
    <definedName name="_11ag_1" localSheetId="3">#REF!</definedName>
    <definedName name="_11ag_1" localSheetId="11">#REF!</definedName>
    <definedName name="_11ag_1">#REF!</definedName>
    <definedName name="_12ag_2" localSheetId="12">#REF!</definedName>
    <definedName name="_12ag_2" localSheetId="3">#REF!</definedName>
    <definedName name="_12ag_2" localSheetId="11">#REF!</definedName>
    <definedName name="_12ag_2">#REF!</definedName>
    <definedName name="_13ag_3">#REF!</definedName>
    <definedName name="_14ag_4">#REF!</definedName>
    <definedName name="_15cho_1">#REF!</definedName>
    <definedName name="_16cho_2">#REF!</definedName>
    <definedName name="_17cho_3">#REF!</definedName>
    <definedName name="_18cho_4">#REF!</definedName>
    <definedName name="_19ci_1">#REF!</definedName>
    <definedName name="_1a_1">#REF!</definedName>
    <definedName name="_20ci_2">#REF!</definedName>
    <definedName name="_21ci_3">#REF!</definedName>
    <definedName name="_22ci_4">#REF!</definedName>
    <definedName name="_23Excel_BuiltIn_Print_Area_2">#REF!</definedName>
    <definedName name="_24Excel_BuiltIn_Print_Area_3">#REF!</definedName>
    <definedName name="_26Excel_BuiltIn_Print_Area_7_1_1">#REF!</definedName>
    <definedName name="_27Excel_BuiltIn_Print_Area_8_1" localSheetId="12">(#REF!,#REF!,#REF!,#REF!,#REF!)</definedName>
    <definedName name="_27Excel_BuiltIn_Print_Area_8_1" localSheetId="7">(#REF!,#REF!,#REF!,#REF!,#REF!)</definedName>
    <definedName name="_27Excel_BuiltIn_Print_Area_8_1" localSheetId="3">(#REF!,#REF!,#REF!,#REF!,#REF!)</definedName>
    <definedName name="_27Excel_BuiltIn_Print_Area_8_1" localSheetId="11">(#REF!,#REF!,#REF!,#REF!,#REF!)</definedName>
    <definedName name="_27Excel_BuiltIn_Print_Area_8_1">(#REF!,#REF!,#REF!,#REF!,#REF!)</definedName>
    <definedName name="_28ls_1" localSheetId="12">#REF!</definedName>
    <definedName name="_28ls_1" localSheetId="7">#REF!</definedName>
    <definedName name="_28ls_1" localSheetId="3">#REF!</definedName>
    <definedName name="_28ls_1" localSheetId="11">#REF!</definedName>
    <definedName name="_28ls_1">#REF!</definedName>
    <definedName name="_29ls_2" localSheetId="12">#REF!</definedName>
    <definedName name="_29ls_2" localSheetId="3">#REF!</definedName>
    <definedName name="_29ls_2" localSheetId="11">#REF!</definedName>
    <definedName name="_29ls_2">#REF!</definedName>
    <definedName name="_2a_2" localSheetId="12">#REF!</definedName>
    <definedName name="_2a_2" localSheetId="3">#REF!</definedName>
    <definedName name="_2a_2" localSheetId="11">#REF!</definedName>
    <definedName name="_2a_2">#REF!</definedName>
    <definedName name="_30ls_3">#REF!</definedName>
    <definedName name="_31ls_4">#REF!</definedName>
    <definedName name="_32lub_1">#REF!</definedName>
    <definedName name="_33lub_2">#REF!</definedName>
    <definedName name="_34lub_3">#REF!</definedName>
    <definedName name="_35lub_4">#REF!</definedName>
    <definedName name="_36meio_1">#REF!</definedName>
    <definedName name="_37meio_2">#REF!</definedName>
    <definedName name="_38meio_3">#REF!</definedName>
    <definedName name="_39meio_4">#REF!</definedName>
    <definedName name="_3a_3">#REF!</definedName>
    <definedName name="_40od_1">#REF!</definedName>
    <definedName name="_41od_2">#REF!</definedName>
    <definedName name="_42od_3">#REF!</definedName>
    <definedName name="_43od_4">#REF!</definedName>
    <definedName name="_44of_1">#REF!</definedName>
    <definedName name="_45of_2">#REF!</definedName>
    <definedName name="_46of_3">#REF!</definedName>
    <definedName name="_47of_4">#REF!</definedName>
    <definedName name="_48pdm_1">#REF!</definedName>
    <definedName name="_49pdm_2">#REF!</definedName>
    <definedName name="_4aaa_1">#REF!</definedName>
    <definedName name="_50pdm_3">#REF!</definedName>
    <definedName name="_51pdm_4">#REF!</definedName>
    <definedName name="_52pedra_1">#REF!</definedName>
    <definedName name="_53pedra_2">#REF!</definedName>
    <definedName name="_54pedra_3">#REF!</definedName>
    <definedName name="_55pedra_4">#REF!</definedName>
    <definedName name="_56port_1">#REF!</definedName>
    <definedName name="_57port_2">#REF!</definedName>
    <definedName name="_58port_3">#REF!</definedName>
    <definedName name="_59port_4">#REF!</definedName>
    <definedName name="_5aaa_2">#REF!</definedName>
    <definedName name="_60PREF_1">#REF!</definedName>
    <definedName name="_61PREF_2">#REF!</definedName>
    <definedName name="_62PREF_3">#REF!</definedName>
    <definedName name="_63PREF_4">#REF!</definedName>
    <definedName name="_64rrrrrrrrrrrr_1">#REF!</definedName>
    <definedName name="_65rrrrrrrrrrrr_2">#REF!</definedName>
    <definedName name="_66rrrrrrrrrrrr_3">#REF!</definedName>
    <definedName name="_67rrrrrrrrrrrr_4">#REF!</definedName>
    <definedName name="_68ruas_1">#REF!</definedName>
    <definedName name="_69ruas_2">#REF!</definedName>
    <definedName name="_6aaa_3">#REF!</definedName>
    <definedName name="_70ruas_3">#REF!</definedName>
    <definedName name="_71ruas_4">#REF!</definedName>
    <definedName name="_72se_1">#REF!</definedName>
    <definedName name="_73se_2">#REF!</definedName>
    <definedName name="_74se_3">#REF!</definedName>
    <definedName name="_75se_4">#REF!</definedName>
    <definedName name="_76sx_1">#REF!</definedName>
    <definedName name="_77sx_2">#REF!</definedName>
    <definedName name="_78sx_3">#REF!</definedName>
    <definedName name="_79sx_4">#REF!</definedName>
    <definedName name="_7af_1">#REF!</definedName>
    <definedName name="_80tb100cm_1">#REF!</definedName>
    <definedName name="_81tb100cm_2">#REF!</definedName>
    <definedName name="_82tb100cm_3">#REF!</definedName>
    <definedName name="_83tb100cm_4">#REF!</definedName>
    <definedName name="_84total_1">#REF!</definedName>
    <definedName name="_85total_2">#REF!</definedName>
    <definedName name="_86total_3">#REF!</definedName>
    <definedName name="_87total_4">#REF!</definedName>
    <definedName name="_8af_2">#REF!</definedName>
    <definedName name="_9af_3">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ga14">#REF!</definedName>
    <definedName name="_aga16">#REF!</definedName>
    <definedName name="_ARQ1">[1]SERVIÇO!#REF!</definedName>
    <definedName name="_asc321">#REF!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 localSheetId="8">#REF!</definedName>
    <definedName name="_cap20">#REF!</definedName>
    <definedName name="_ccr12">#REF!</definedName>
    <definedName name="_cva32">#REF!</definedName>
    <definedName name="_cva50" localSheetId="8">#REF!</definedName>
    <definedName name="_cva50">#REF!</definedName>
    <definedName name="_cva60" localSheetId="8">#REF!</definedName>
    <definedName name="_cva60">#REF!</definedName>
    <definedName name="_cve45100" localSheetId="8">#REF!</definedName>
    <definedName name="_cve45100">#REF!</definedName>
    <definedName name="_cve90100" localSheetId="8">#REF!</definedName>
    <definedName name="_cve90100">#REF!</definedName>
    <definedName name="_cve9040" localSheetId="8">#REF!</definedName>
    <definedName name="_cve9040">#REF!</definedName>
    <definedName name="_djm10" localSheetId="8">#REF!</definedName>
    <definedName name="_djm10">#REF!</definedName>
    <definedName name="_djm15" localSheetId="8">#REF!</definedName>
    <definedName name="_djm15">#REF!</definedName>
    <definedName name="_epl2" localSheetId="8">#REF!</definedName>
    <definedName name="_epl2">#REF!</definedName>
    <definedName name="_epl5" localSheetId="8">#REF!</definedName>
    <definedName name="_epl5">#REF!</definedName>
    <definedName name="_esc15">#REF!</definedName>
    <definedName name="_esc4">#REF!</definedName>
    <definedName name="_esc6">#REF!</definedName>
    <definedName name="_est15">#REF!</definedName>
    <definedName name="_fil1" localSheetId="8">#REF!</definedName>
    <definedName name="_fil1">#REF!</definedName>
    <definedName name="_fil2" localSheetId="8">#REF!</definedName>
    <definedName name="_fil2">#REF!</definedName>
    <definedName name="_fio12" localSheetId="8">#REF!</definedName>
    <definedName name="_fio12">#REF!</definedName>
    <definedName name="_fis5" localSheetId="8">#REF!</definedName>
    <definedName name="_fis5">#REF!</definedName>
    <definedName name="_flf50" localSheetId="8">#REF!</definedName>
    <definedName name="_flf50">#REF!</definedName>
    <definedName name="_flf60" localSheetId="8">#REF!</definedName>
    <definedName name="_flf60">#REF!</definedName>
    <definedName name="_fpd12" localSheetId="8">#REF!</definedName>
    <definedName name="_fpd12">#REF!</definedName>
    <definedName name="_fvr10" localSheetId="8">#REF!</definedName>
    <definedName name="_fvr10">#REF!</definedName>
    <definedName name="_itu1" localSheetId="8">#REF!</definedName>
    <definedName name="_itu1">#REF!</definedName>
    <definedName name="_jla20" localSheetId="8">#REF!</definedName>
    <definedName name="_jla20">#REF!</definedName>
    <definedName name="_jla32" localSheetId="8">#REF!</definedName>
    <definedName name="_jla32">#REF!</definedName>
    <definedName name="_lpi100" localSheetId="8">#REF!</definedName>
    <definedName name="_lpi100">#REF!</definedName>
    <definedName name="_lvg10060" localSheetId="8">#REF!</definedName>
    <definedName name="_lvg10060">#REF!</definedName>
    <definedName name="_lvp32" localSheetId="8">#REF!</definedName>
    <definedName name="_lvp32">#REF!</definedName>
    <definedName name="_lxa1">#REF!</definedName>
    <definedName name="_man50" localSheetId="8">#REF!</definedName>
    <definedName name="_man50">#REF!</definedName>
    <definedName name="_ope1" localSheetId="8">#REF!</definedName>
    <definedName name="_ope1">#REF!</definedName>
    <definedName name="_ope2" localSheetId="8">#REF!</definedName>
    <definedName name="_ope2">#REF!</definedName>
    <definedName name="_ope3" localSheetId="8">#REF!</definedName>
    <definedName name="_ope3">#REF!</definedName>
    <definedName name="_Order1" hidden="1">255</definedName>
    <definedName name="_PL1" localSheetId="8">#REF!</definedName>
    <definedName name="_PL1">#REF!</definedName>
    <definedName name="_pne1" localSheetId="8">#REF!</definedName>
    <definedName name="_pne1">#REF!</definedName>
    <definedName name="_pne2" localSheetId="8">#REF!</definedName>
    <definedName name="_pne2">#REF!</definedName>
    <definedName name="_prg1515">#REF!</definedName>
    <definedName name="_prg1827">#REF!</definedName>
    <definedName name="_ptc7">#REF!</definedName>
    <definedName name="_ptm6" localSheetId="8">#REF!</definedName>
    <definedName name="_ptm6">#REF!</definedName>
    <definedName name="_qdm3" localSheetId="8">#REF!</definedName>
    <definedName name="_qdm3">#REF!</definedName>
    <definedName name="_QT100" localSheetId="8">[1]SERVIÇO!#REF!</definedName>
    <definedName name="_QT100">[1]SERVIÇO!#REF!</definedName>
    <definedName name="_QT2" localSheetId="8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rcm10">#REF!</definedName>
    <definedName name="_rcm15" localSheetId="8">#REF!</definedName>
    <definedName name="_rcm15">#REF!</definedName>
    <definedName name="_rcm20" localSheetId="8">#REF!</definedName>
    <definedName name="_rcm20">#REF!</definedName>
    <definedName name="_rcm5" localSheetId="8">#REF!</definedName>
    <definedName name="_rcm5">#REF!</definedName>
    <definedName name="_res10" localSheetId="8">#REF!</definedName>
    <definedName name="_res10">#REF!</definedName>
    <definedName name="_res15" localSheetId="8">#REF!</definedName>
    <definedName name="_res15">#REF!</definedName>
    <definedName name="_res5" localSheetId="8">#REF!</definedName>
    <definedName name="_res5">#REF!</definedName>
    <definedName name="_rge32">#REF!</definedName>
    <definedName name="_rgf60" localSheetId="8">#REF!</definedName>
    <definedName name="_rgf60">#REF!</definedName>
    <definedName name="_rgp1" localSheetId="8">#REF!</definedName>
    <definedName name="_rgp1">#REF!</definedName>
    <definedName name="_T">[1]SERVIÇO!#REF!</definedName>
    <definedName name="_tap100">#REF!</definedName>
    <definedName name="_tb112">#REF!</definedName>
    <definedName name="_tb16">#REF!</definedName>
    <definedName name="_tb19">#REF!</definedName>
    <definedName name="_tba20" localSheetId="8">#REF!</definedName>
    <definedName name="_tba20">#REF!</definedName>
    <definedName name="_tba32" localSheetId="8">#REF!</definedName>
    <definedName name="_tba32">#REF!</definedName>
    <definedName name="_tba50" localSheetId="8">#REF!</definedName>
    <definedName name="_tba50">#REF!</definedName>
    <definedName name="_tba60" localSheetId="8">#REF!</definedName>
    <definedName name="_tba60">#REF!</definedName>
    <definedName name="_tbe100" localSheetId="8">#REF!</definedName>
    <definedName name="_tbe100">#REF!</definedName>
    <definedName name="_tbe40" localSheetId="8">#REF!</definedName>
    <definedName name="_tbe40">#REF!</definedName>
    <definedName name="_tbe50" localSheetId="8">#REF!</definedName>
    <definedName name="_tbe50">#REF!</definedName>
    <definedName name="_tca80">#REF!</definedName>
    <definedName name="_tea32" localSheetId="8">#REF!</definedName>
    <definedName name="_tea32">#REF!</definedName>
    <definedName name="_tea4560" localSheetId="8">#REF!</definedName>
    <definedName name="_tea4560">#REF!</definedName>
    <definedName name="_tee100" localSheetId="8">#REF!</definedName>
    <definedName name="_tee100">#REF!</definedName>
    <definedName name="_ter10050" localSheetId="8">#REF!</definedName>
    <definedName name="_ter10050">#REF!</definedName>
    <definedName name="_tfg50">#REF!</definedName>
    <definedName name="_tlf6" localSheetId="8">#REF!</definedName>
    <definedName name="_tlf6">#REF!</definedName>
    <definedName name="_tub10012" localSheetId="8">#REF!</definedName>
    <definedName name="_tub10012">#REF!</definedName>
    <definedName name="_tub10015" localSheetId="8">#REF!</definedName>
    <definedName name="_tub10015">#REF!</definedName>
    <definedName name="_tub10020" localSheetId="8">#REF!</definedName>
    <definedName name="_tub10020">#REF!</definedName>
    <definedName name="_tub15012">#REF!</definedName>
    <definedName name="_tub4012" localSheetId="8">#REF!</definedName>
    <definedName name="_tub4012">#REF!</definedName>
    <definedName name="_tub4015" localSheetId="8">#REF!</definedName>
    <definedName name="_tub4015">#REF!</definedName>
    <definedName name="_tub4020" localSheetId="8">#REF!</definedName>
    <definedName name="_tub4020">#REF!</definedName>
    <definedName name="_tub5012" localSheetId="8">#REF!</definedName>
    <definedName name="_tub5012">#REF!</definedName>
    <definedName name="_tub5015" localSheetId="8">#REF!</definedName>
    <definedName name="_tub5015">#REF!</definedName>
    <definedName name="_tub5020" localSheetId="8">#REF!</definedName>
    <definedName name="_tub5020">#REF!</definedName>
    <definedName name="_tub7512" localSheetId="8">#REF!</definedName>
    <definedName name="_tub7512">#REF!</definedName>
    <definedName name="_tub7515" localSheetId="8">#REF!</definedName>
    <definedName name="_tub7515">#REF!</definedName>
    <definedName name="_tub7520" localSheetId="8">#REF!</definedName>
    <definedName name="_tub7520">#REF!</definedName>
    <definedName name="A" localSheetId="8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A" localSheetId="8">#N/A</definedName>
    <definedName name="AA">AA</definedName>
    <definedName name="aaa">#REF!</definedName>
    <definedName name="AAAAA" localSheetId="8">#REF!</definedName>
    <definedName name="AAAAA">#REF!</definedName>
    <definedName name="abebqt" localSheetId="8">[1]SERVIÇO!#REF!</definedName>
    <definedName name="abebqt">[1]SERVIÇO!#REF!</definedName>
    <definedName name="ACADUC" localSheetId="8">[1]SERVIÇO!#REF!</definedName>
    <definedName name="ACADUC">[1]SERVIÇO!#REF!</definedName>
    <definedName name="ACBEB">[1]SERVIÇO!#REF!</definedName>
    <definedName name="ACBOMB">[1]SERVIÇO!#REF!</definedName>
    <definedName name="AccessDatabase">"D:\Arquivos do excel\Planilha modelo1.mdb"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IDO" localSheetId="8">#REF!</definedName>
    <definedName name="ACIDO">#REF!</definedName>
    <definedName name="acl" localSheetId="12">#REF!</definedName>
    <definedName name="acl" localSheetId="8">#REF!</definedName>
    <definedName name="acl" localSheetId="7">#REF!</definedName>
    <definedName name="acl" localSheetId="3">#REF!</definedName>
    <definedName name="acl" localSheetId="11">#REF!</definedName>
    <definedName name="acl">#REF!</definedName>
    <definedName name="ACMUR">[1]SERVIÇO!#REF!</definedName>
    <definedName name="aço" localSheetId="12">#REF!</definedName>
    <definedName name="AÇO" localSheetId="8">#REF!</definedName>
    <definedName name="aço" localSheetId="3">#REF!</definedName>
    <definedName name="aço" localSheetId="11">#REF!</definedName>
    <definedName name="aço">#REF!</definedName>
    <definedName name="AÇO_CA_50_3_16" localSheetId="8">#REF!</definedName>
    <definedName name="AÇO_CA_50_3_16">#REF!</definedName>
    <definedName name="ACONT2" localSheetId="8">[1]SERVIÇO!#REF!</definedName>
    <definedName name="ACONT2">[1]SERVIÇO!#REF!</definedName>
    <definedName name="ACPIPA" localSheetId="8">[1]SERVIÇO!#REF!</definedName>
    <definedName name="ACPIPA">[1]SERVIÇO!#REF!</definedName>
    <definedName name="ACTRANSP">[1]SERVIÇO!#REF!</definedName>
    <definedName name="AD">#REF!</definedName>
    <definedName name="ade" localSheetId="12">#REF!</definedName>
    <definedName name="ade" localSheetId="3">#REF!</definedName>
    <definedName name="ade" localSheetId="11">#REF!</definedName>
    <definedName name="ade">#REF!</definedName>
    <definedName name="ADESIVO_PVC" localSheetId="8">#REF!</definedName>
    <definedName name="ADESIVO_PVC">#REF!</definedName>
    <definedName name="adtimp" localSheetId="8">#REF!</definedName>
    <definedName name="adtimp">#REF!</definedName>
    <definedName name="ADUCQT">[1]SERVIÇO!#REF!</definedName>
    <definedName name="af" localSheetId="8">#REF!</definedName>
    <definedName name="af" localSheetId="7">#REF!</definedName>
    <definedName name="af">#REF!</definedName>
    <definedName name="af_1">#REF!</definedName>
    <definedName name="aff">#REF!</definedName>
    <definedName name="afi" localSheetId="8">#REF!</definedName>
    <definedName name="afi">#REF!</definedName>
    <definedName name="afp" localSheetId="8">#REF!</definedName>
    <definedName name="afp">#REF!</definedName>
    <definedName name="ag" localSheetId="8">#REF!</definedName>
    <definedName name="ag" localSheetId="7">#REF!</definedName>
    <definedName name="ag">#REF!</definedName>
    <definedName name="ag_1">#REF!</definedName>
    <definedName name="agr" localSheetId="8">#REF!</definedName>
    <definedName name="agr">#REF!</definedName>
    <definedName name="AGUA_10LT" localSheetId="8">#REF!</definedName>
    <definedName name="AGUA_10LT">#REF!</definedName>
    <definedName name="AGUARRAZ" localSheetId="8">#REF!</definedName>
    <definedName name="AGUARRAZ">#REF!</definedName>
    <definedName name="AITEM" localSheetId="8">[1]SERVIÇO!#REF!</definedName>
    <definedName name="AITEM">[1]SERVIÇO!#REF!</definedName>
    <definedName name="AJUDANTE" localSheetId="8">#REF!</definedName>
    <definedName name="AJUDANTE">#REF!</definedName>
    <definedName name="ALIZAR_MAD_LEI" localSheetId="8">#REF!</definedName>
    <definedName name="ALIZAR_MAD_LEI">#REF!</definedName>
    <definedName name="ALTA" localSheetId="8">'[2]PRO-08'!#REF!</definedName>
    <definedName name="ALTA">'[2]PRO-08'!#REF!</definedName>
    <definedName name="ALTADUC" localSheetId="8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marela" localSheetId="8">#REF!</definedName>
    <definedName name="amarela">#REF!</definedName>
    <definedName name="amc" localSheetId="8">#REF!</definedName>
    <definedName name="amc">#REF!</definedName>
    <definedName name="amd" localSheetId="8">#REF!</definedName>
    <definedName name="amd">#REF!</definedName>
    <definedName name="ame">#REF!</definedName>
    <definedName name="amm" localSheetId="8">#REF!</definedName>
    <definedName name="amm">#REF!</definedName>
    <definedName name="AMONIA" localSheetId="8">#REF!</definedName>
    <definedName name="AMONIA">#REF!</definedName>
    <definedName name="anb" localSheetId="8">#REF!</definedName>
    <definedName name="anb">#REF!</definedName>
    <definedName name="apc">#REF!</definedName>
    <definedName name="apmfs" localSheetId="8">#REF!</definedName>
    <definedName name="apmfs">#REF!</definedName>
    <definedName name="APRENDIZ" localSheetId="8">{"total","SUM(total)","YNNNN",FALSE}</definedName>
    <definedName name="APRENDIZ">{"total","SUM(total)","YNNNN",FALSE}</definedName>
    <definedName name="AQTEMP1">[1]SERVIÇO!#REF!</definedName>
    <definedName name="AQTEMP2">[1]SERVIÇO!#REF!</definedName>
    <definedName name="ARAME_RECOZIDO">[3]Insumos!$I$22</definedName>
    <definedName name="are" localSheetId="8">#REF!</definedName>
    <definedName name="are">#REF!</definedName>
    <definedName name="AREA">#REF!</definedName>
    <definedName name="ÁREA">#REF!</definedName>
    <definedName name="_xlnm.Print_Area" localSheetId="12">BDI!$B$1:$I$37</definedName>
    <definedName name="_xlnm.Print_Area" localSheetId="5">'COMPOSIÇÃO PROJETO EXECUTIVO'!$A$1:$G$34</definedName>
    <definedName name="_xlnm.Print_Area" localSheetId="8">'COMPOSIÇÕES ENSAIOS'!$B$1:$I$20</definedName>
    <definedName name="_xlnm.Print_Area" localSheetId="7">'COMPOSIÇÕES SINAPI'!$A$1:$H$27</definedName>
    <definedName name="_xlnm.Print_Area" localSheetId="3">'CRONO FISICO-FINANCEIRO'!$A$1:$R$42</definedName>
    <definedName name="_xlnm.Print_Area" localSheetId="9">'CUSTOS SICRO - SINAPI - ORSE'!$A$1:$G$64</definedName>
    <definedName name="_xlnm.Print_Area" localSheetId="11">'DET. ENCARGOS'!$A$1:$D$45</definedName>
    <definedName name="_xlnm.Print_Area" localSheetId="4">'MEMÓRIA DE CÁLCULOS'!$A$1:$F$29</definedName>
    <definedName name="_xlnm.Print_Area" localSheetId="10">Mobilização!$A$1:$P$28</definedName>
    <definedName name="_xlnm.Print_Area" localSheetId="2">'MÓDULO MÍNIMO'!$A$1:$K$40</definedName>
    <definedName name="_xlnm.Print_Area" localSheetId="1">'PLANILHA GLOBAL'!$A$1:$M$38</definedName>
    <definedName name="Área_impressão_IM" localSheetId="8">#REF!</definedName>
    <definedName name="Área_impressão_IM">#REF!</definedName>
    <definedName name="AreaTeste">#REF!</definedName>
    <definedName name="AreaTeste2">#REF!</definedName>
    <definedName name="AREIA" localSheetId="8">#REF!</definedName>
    <definedName name="AREIA">#REF!</definedName>
    <definedName name="ARMAÇÃO_CONCRETO" localSheetId="8">#REF!</definedName>
    <definedName name="ARMAÇÃO_CONCRETO">#REF!</definedName>
    <definedName name="ARMADOR">#REF!</definedName>
    <definedName name="ARMARIO_90X60X17_CM">#REF!</definedName>
    <definedName name="ARQ" localSheetId="8">[1]SERVIÇO!#REF!</definedName>
    <definedName name="ARQ">[1]SERVIÇO!#REF!</definedName>
    <definedName name="ARQERR" localSheetId="8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d">#REF!</definedName>
    <definedName name="Asf" localSheetId="12">#REF!</definedName>
    <definedName name="Asf" localSheetId="7">#REF!</definedName>
    <definedName name="Asf" localSheetId="3">#REF!</definedName>
    <definedName name="Asf" localSheetId="11">#REF!</definedName>
    <definedName name="Asf">#REF!</definedName>
    <definedName name="ass">[1]SERVIÇO!#REF!</definedName>
    <definedName name="ASSENTO_PLASTICO" localSheetId="8">#REF!</definedName>
    <definedName name="ASSENTO_PLASTICO">#REF!</definedName>
    <definedName name="ATERRO_ARENOSO" localSheetId="8">#REF!</definedName>
    <definedName name="ATERRO_ARENOSO">#REF!</definedName>
    <definedName name="AUGUSTO" localSheetId="8">{"total","SUM(total)","YNNNN",FALSE}</definedName>
    <definedName name="AUGUSTO">{"total","SUM(total)","YNNNN",FALSE}</definedName>
    <definedName name="AZ">#REF!</definedName>
    <definedName name="azul" localSheetId="8">#REF!</definedName>
    <definedName name="azul">#REF!</definedName>
    <definedName name="AZULEGISTA" localSheetId="8">#REF!</definedName>
    <definedName name="AZULEGISTA">#REF!</definedName>
    <definedName name="AZULEJO_15X15" localSheetId="8">#REF!</definedName>
    <definedName name="AZULEJO_15X15">#REF!</definedName>
    <definedName name="AZULSINAL">#REF!</definedName>
    <definedName name="B">#REF!</definedName>
    <definedName name="B320I" localSheetId="12">#REF!</definedName>
    <definedName name="B320I" localSheetId="8">#REF!</definedName>
    <definedName name="B320I" localSheetId="3">#REF!</definedName>
    <definedName name="B320I" localSheetId="11">#REF!</definedName>
    <definedName name="B320I">#REF!</definedName>
    <definedName name="B320P" localSheetId="12">#REF!</definedName>
    <definedName name="B320P" localSheetId="8">#REF!</definedName>
    <definedName name="B320P" localSheetId="3">#REF!</definedName>
    <definedName name="B320P" localSheetId="11">#REF!</definedName>
    <definedName name="B320P">#REF!</definedName>
    <definedName name="B500I" localSheetId="8">#REF!</definedName>
    <definedName name="B500I">#REF!</definedName>
    <definedName name="B500P" localSheetId="8">#REF!</definedName>
    <definedName name="B500P">#REF!</definedName>
    <definedName name="baliz">#REF!</definedName>
    <definedName name="BALTO" localSheetId="8">#REF!</definedName>
    <definedName name="BALTO" localSheetId="7">#REF!</definedName>
    <definedName name="BALTO">#REF!</definedName>
    <definedName name="BARRO">[3]Insumos!$I$9</definedName>
    <definedName name="BASC10I">#REF!</definedName>
    <definedName name="BASC10P">#REF!</definedName>
    <definedName name="BASC4I">#REF!</definedName>
    <definedName name="BASC4P">#REF!</definedName>
    <definedName name="BASC6I">#REF!</definedName>
    <definedName name="BASC6P">#REF!</definedName>
    <definedName name="bcc10.10">#REF!</definedName>
    <definedName name="bcc10.20" localSheetId="8">#REF!</definedName>
    <definedName name="bcc10.20">#REF!</definedName>
    <definedName name="bcc4.5" localSheetId="8">#REF!</definedName>
    <definedName name="bcc4.5">#REF!</definedName>
    <definedName name="bcc5.10" localSheetId="8">#REF!</definedName>
    <definedName name="bcc5.10">#REF!</definedName>
    <definedName name="bcc5.15" localSheetId="8">#REF!</definedName>
    <definedName name="bcc5.15">#REF!</definedName>
    <definedName name="bcc5.20" localSheetId="8">#REF!</definedName>
    <definedName name="bcc5.20">#REF!</definedName>
    <definedName name="bcc5.5" localSheetId="8">#REF!</definedName>
    <definedName name="bcc5.5">#REF!</definedName>
    <definedName name="bcc6.10" localSheetId="8">#REF!</definedName>
    <definedName name="bcc6.10">#REF!</definedName>
    <definedName name="bcc6.15" localSheetId="8">#REF!</definedName>
    <definedName name="bcc6.15">#REF!</definedName>
    <definedName name="bcc6.20">#REF!</definedName>
    <definedName name="bcc6.5" localSheetId="8">#REF!</definedName>
    <definedName name="bcc6.5">#REF!</definedName>
    <definedName name="bcc8.10" localSheetId="8">#REF!</definedName>
    <definedName name="bcc8.10">#REF!</definedName>
    <definedName name="bcc8.15" localSheetId="8">#REF!</definedName>
    <definedName name="bcc8.15">#REF!</definedName>
    <definedName name="bcc8.20">#REF!</definedName>
    <definedName name="bcc8.5" localSheetId="8">#REF!</definedName>
    <definedName name="bcc8.5">#REF!</definedName>
    <definedName name="bcf">#REF!</definedName>
    <definedName name="bcp" localSheetId="8">#REF!</definedName>
    <definedName name="bcp">#REF!</definedName>
    <definedName name="BDI" localSheetId="8">#REF!</definedName>
    <definedName name="BDI">#REF!</definedName>
    <definedName name="BDIE">#REF!</definedName>
    <definedName name="bebqt" localSheetId="8">[1]SERVIÇO!#REF!</definedName>
    <definedName name="bebqt">[1]SERVIÇO!#REF!</definedName>
    <definedName name="bet">#REF!</definedName>
    <definedName name="BET5I">#REF!</definedName>
    <definedName name="BET5P">#REF!</definedName>
    <definedName name="BG" localSheetId="8">#REF!</definedName>
    <definedName name="BG">#REF!</definedName>
    <definedName name="BGU" localSheetId="8">#REF!</definedName>
    <definedName name="BGU">#REF!</definedName>
    <definedName name="BLOCO.CONC.CELULAR.12" localSheetId="8">#REF!</definedName>
    <definedName name="BLOCO.CONC.CELULAR.12">#REF!</definedName>
    <definedName name="BLOCO.CONCRETO.14X19X39">#REF!</definedName>
    <definedName name="BLOCO.CONCRETO.19X19X39">#REF!</definedName>
    <definedName name="BLOCO.CONCRETO.9X19X39">#REF!</definedName>
    <definedName name="BLOCO_VIDRO">#REF!</definedName>
    <definedName name="bomp2">#REF!</definedName>
    <definedName name="BPF" localSheetId="8">#REF!</definedName>
    <definedName name="BPF">#REF!</definedName>
    <definedName name="BRITA1">#REF!</definedName>
    <definedName name="BVN">#REF!</definedName>
    <definedName name="CA15I" localSheetId="8">#REF!</definedName>
    <definedName name="CA15I">#REF!</definedName>
    <definedName name="CA15P" localSheetId="8">#REF!</definedName>
    <definedName name="CA15P">#REF!</definedName>
    <definedName name="CA25I" localSheetId="8">#REF!</definedName>
    <definedName name="CA25I">#REF!</definedName>
    <definedName name="CA25P" localSheetId="8">#REF!</definedName>
    <definedName name="CA25P">#REF!</definedName>
    <definedName name="caba1_0">#REF!</definedName>
    <definedName name="caba4">#REF!</definedName>
    <definedName name="CAIXILHO_MAD_LEI">#REF!</definedName>
    <definedName name="cal" localSheetId="8">#REF!</definedName>
    <definedName name="cal">#REF!</definedName>
    <definedName name="calpi">#REF!</definedName>
    <definedName name="CAMP" localSheetId="8">[1]SERVIÇO!#REF!</definedName>
    <definedName name="camp">#REF!</definedName>
    <definedName name="CARROCI">#REF!</definedName>
    <definedName name="CARROCP">#REF!</definedName>
    <definedName name="CB10I" localSheetId="8">#REF!</definedName>
    <definedName name="CB10I">#REF!</definedName>
    <definedName name="CB10P" localSheetId="8">#REF!</definedName>
    <definedName name="CB10P">#REF!</definedName>
    <definedName name="CB4I" localSheetId="8">#REF!</definedName>
    <definedName name="CB4I">#REF!</definedName>
    <definedName name="CB4P" localSheetId="8">#REF!</definedName>
    <definedName name="CB4P">#REF!</definedName>
    <definedName name="CB6.5I" localSheetId="8">#REF!</definedName>
    <definedName name="CB6.5I">#REF!</definedName>
    <definedName name="CB6.5P" localSheetId="8">#REF!</definedName>
    <definedName name="CB6.5P">#REF!</definedName>
    <definedName name="CB6I" localSheetId="8">#REF!</definedName>
    <definedName name="CB6I">#REF!</definedName>
    <definedName name="CB6P" localSheetId="8">#REF!</definedName>
    <definedName name="CB6P">#REF!</definedName>
    <definedName name="cbas">#REF!</definedName>
    <definedName name="CBU" localSheetId="8">#REF!</definedName>
    <definedName name="CBU">#REF!</definedName>
    <definedName name="CBUII" localSheetId="8">#REF!</definedName>
    <definedName name="CBUII">#REF!</definedName>
    <definedName name="CBUQB" localSheetId="8">#REF!</definedName>
    <definedName name="CBUQB">#REF!</definedName>
    <definedName name="CBUQc">#REF!</definedName>
    <definedName name="cccc">[4]ORC!#REF!</definedName>
    <definedName name="CCM13I">#REF!</definedName>
    <definedName name="CCM13P">#REF!</definedName>
    <definedName name="CCM20I">#REF!</definedName>
    <definedName name="CCM20P">#REF!</definedName>
    <definedName name="ccp" localSheetId="8">#REF!</definedName>
    <definedName name="ccp">#REF!</definedName>
    <definedName name="cds" localSheetId="8">#REF!</definedName>
    <definedName name="cds">#REF!</definedName>
    <definedName name="cec20x20" localSheetId="8">#REF!</definedName>
    <definedName name="cec20x20">#REF!</definedName>
    <definedName name="CélulaInicioPlanilha">#REF!</definedName>
    <definedName name="CélulaResumo">#REF!</definedName>
    <definedName name="cer1\2">#REF!</definedName>
    <definedName name="cer1_2">#REF!</definedName>
    <definedName name="CERAMICA_30X30_PEI_IV">#REF!</definedName>
    <definedName name="CERAMICA_30x30_PEI_V">#REF!</definedName>
    <definedName name="cfd">#REF!</definedName>
    <definedName name="chaf" localSheetId="8">#REF!</definedName>
    <definedName name="chaf">#REF!</definedName>
    <definedName name="CHAFQT" localSheetId="8">[1]SERVIÇO!#REF!</definedName>
    <definedName name="CHAFQT">[1]SERVIÇO!#REF!</definedName>
    <definedName name="cho" localSheetId="8">#REF!</definedName>
    <definedName name="cho" localSheetId="7">#REF!</definedName>
    <definedName name="cho">#REF!</definedName>
    <definedName name="cho_1">#REF!</definedName>
    <definedName name="ci" localSheetId="8">#REF!</definedName>
    <definedName name="ci" localSheetId="7">#REF!</definedName>
    <definedName name="ci">#REF!</definedName>
    <definedName name="ci_1">#REF!</definedName>
    <definedName name="cib" localSheetId="8">#REF!</definedName>
    <definedName name="cib">#REF!</definedName>
    <definedName name="cim" localSheetId="8">#REF!</definedName>
    <definedName name="cim">#REF!</definedName>
    <definedName name="CIMENTO" localSheetId="8">#REF!</definedName>
    <definedName name="CIMENTO">#REF!</definedName>
    <definedName name="CIMENTO_BRANCO" localSheetId="8">#REF!</definedName>
    <definedName name="CIMENTO_BRANCO">#REF!</definedName>
    <definedName name="CIMENTO_COLA" localSheetId="8">#REF!</definedName>
    <definedName name="CIMENTO_COLA">#REF!</definedName>
    <definedName name="CLIENTE">#REF!</definedName>
    <definedName name="clp" localSheetId="8">#REF!</definedName>
    <definedName name="clp">#REF!</definedName>
    <definedName name="clr1\2">#REF!</definedName>
    <definedName name="clr1_2">#REF!</definedName>
    <definedName name="CM9I" localSheetId="8">#REF!</definedName>
    <definedName name="CM9I">#REF!</definedName>
    <definedName name="CM9P" localSheetId="8">#REF!</definedName>
    <definedName name="CM9P">#REF!</definedName>
    <definedName name="COD_ATRIUM" localSheetId="8">#REF!</definedName>
    <definedName name="COD_ATRIUM" localSheetId="7">#REF!</definedName>
    <definedName name="COD_ATRIUM">#REF!</definedName>
    <definedName name="COD_SINAPI" localSheetId="8">#REF!</definedName>
    <definedName name="COD_SINAPI" localSheetId="7">#REF!</definedName>
    <definedName name="COD_SINAPI">#REF!</definedName>
    <definedName name="COLSUB" localSheetId="8">[1]SERVIÇO!#REF!</definedName>
    <definedName name="COLSUB">[1]SERVIÇO!#REF!</definedName>
    <definedName name="comp">#REF!</definedName>
    <definedName name="COMPENSA.PLAST" localSheetId="8">#REF!</definedName>
    <definedName name="COMPENSA.PLAST">#REF!</definedName>
    <definedName name="COMPENSADO_RES_10MM" localSheetId="8">#REF!</definedName>
    <definedName name="COMPENSADO_RES_10MM">#REF!</definedName>
    <definedName name="COMPENSADO_RES_12MM" localSheetId="8">#REF!</definedName>
    <definedName name="COMPENSADO_RES_12MM">#REF!</definedName>
    <definedName name="CONCRETO_18_MPA">#REF!</definedName>
    <definedName name="CONT1" localSheetId="8">[1]SERVIÇO!#REF!</definedName>
    <definedName name="CONT1">[1]SERVIÇO!#REF!</definedName>
    <definedName name="CONT2" localSheetId="8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PA">#REF!</definedName>
    <definedName name="CPAF" localSheetId="8">#REF!</definedName>
    <definedName name="CPAF">#REF!</definedName>
    <definedName name="CPU">#REF!</definedName>
    <definedName name="CRG930I">#REF!</definedName>
    <definedName name="CRG930P">#REF!</definedName>
    <definedName name="CRG966I">#REF!</definedName>
    <definedName name="CRG966P">#REF!</definedName>
    <definedName name="CRITERX">[1]SERVIÇO!#REF!</definedName>
    <definedName name="Cronograma" localSheetId="8">{"total","SUM(total)","YNNNN",FALSE}</definedName>
    <definedName name="Cronograma">{"total","SUM(total)","YNNNN",FALSE}</definedName>
    <definedName name="CRONOMOD" localSheetId="8">{"total","SUM(total)","YNNNN",FALSE}</definedName>
    <definedName name="CRONOMOD">{"total","SUM(total)","YNNNN",FALSE}</definedName>
    <definedName name="ctfa4">#REF!</definedName>
    <definedName name="ctpvc">#REF!</definedName>
    <definedName name="cumeeira">#REF!</definedName>
    <definedName name="cumeira">#REF!</definedName>
    <definedName name="CV">#REF!</definedName>
    <definedName name="cvb">#REF!</definedName>
    <definedName name="cxcx">#REF!</definedName>
    <definedName name="cxp4x2" localSheetId="8">#REF!</definedName>
    <definedName name="cxp4x2">#REF!</definedName>
    <definedName name="cxz">#REF!</definedName>
    <definedName name="CZ">#REF!</definedName>
    <definedName name="d" localSheetId="8">#REF!</definedName>
    <definedName name="d">#REF!</definedName>
    <definedName name="D6I" localSheetId="8">#REF!</definedName>
    <definedName name="D6I">#REF!</definedName>
    <definedName name="D6P" localSheetId="8">#REF!</definedName>
    <definedName name="D6P">#REF!</definedName>
    <definedName name="D8I" localSheetId="8">#REF!</definedName>
    <definedName name="D8I">#REF!</definedName>
    <definedName name="D8P" localSheetId="8">#REF!</definedName>
    <definedName name="D8P">#REF!</definedName>
    <definedName name="DAT">#REF!</definedName>
    <definedName name="DATA" localSheetId="8">#REF!</definedName>
    <definedName name="DATA">#REF!</definedName>
    <definedName name="Data_Final" localSheetId="8">#REF!</definedName>
    <definedName name="Data_Final">#REF!</definedName>
    <definedName name="Data_Início">#REF!</definedName>
    <definedName name="Database" localSheetId="8">[5]ORC!#REF!</definedName>
    <definedName name="Database">#REF!</definedName>
    <definedName name="DECANEL">#REF!</definedName>
    <definedName name="DERIVQT" localSheetId="8">[1]SERVIÇO!#REF!</definedName>
    <definedName name="DERIVQT">[1]SERVIÇO!#REF!</definedName>
    <definedName name="des">#REF!</definedName>
    <definedName name="descnt" localSheetId="8">#REF!</definedName>
    <definedName name="descnt">#REF!</definedName>
    <definedName name="descont" localSheetId="8">#REF!</definedName>
    <definedName name="descont">#REF!</definedName>
    <definedName name="DESFORMA">#REF!</definedName>
    <definedName name="desm">#REF!</definedName>
    <definedName name="DGA" localSheetId="8">'[2]PRO-08'!#REF!</definedName>
    <definedName name="DGA">'[2]PRO-08'!#REF!</definedName>
    <definedName name="DIE" localSheetId="8">#REF!</definedName>
    <definedName name="DIE">#REF!</definedName>
    <definedName name="DIF" localSheetId="8">#REF!</definedName>
    <definedName name="DIF">#REF!</definedName>
    <definedName name="DIFQT" localSheetId="8">[1]SERVIÇO!#REF!</definedName>
    <definedName name="DIFQT">[1]SERVIÇO!#REF!</definedName>
    <definedName name="DJ" localSheetId="8">#REF!</definedName>
    <definedName name="DJ">#REF!</definedName>
    <definedName name="DKM" localSheetId="8">#REF!</definedName>
    <definedName name="DKM">#REF!</definedName>
    <definedName name="DNIT_aprovação">[6]Auxiliar!$K$2:$K$5</definedName>
    <definedName name="dsadf" localSheetId="8">{"total","SUM(total)","YNNNN",FALSE}</definedName>
    <definedName name="dsadf">{"total","SUM(total)","YNNNN",FALSE}</definedName>
    <definedName name="dwg">#REF!</definedName>
    <definedName name="DXS">#REF!</definedName>
    <definedName name="E" localSheetId="8">#REF!</definedName>
    <definedName name="E">#REF!</definedName>
    <definedName name="ECJ" localSheetId="8">#REF!</definedName>
    <definedName name="ECJ">#REF!</definedName>
    <definedName name="ecm" localSheetId="8">#REF!</definedName>
    <definedName name="ecm">#REF!</definedName>
    <definedName name="eee">NA()</definedName>
    <definedName name="EJ" localSheetId="8">#REF!</definedName>
    <definedName name="EJ">#REF!</definedName>
    <definedName name="ele" localSheetId="12">#REF!</definedName>
    <definedName name="ele" localSheetId="8">#REF!</definedName>
    <definedName name="ele" localSheetId="7">#REF!</definedName>
    <definedName name="ele" localSheetId="3">#REF!</definedName>
    <definedName name="ele" localSheetId="11">#REF!</definedName>
    <definedName name="ele">#REF!</definedName>
    <definedName name="ELEMENTO_VAZADO" localSheetId="8">#REF!</definedName>
    <definedName name="ELEMENTO_VAZADO">#REF!</definedName>
    <definedName name="ELETRICISTA">#REF!</definedName>
    <definedName name="elr1\2">#REF!</definedName>
    <definedName name="elr1_2" localSheetId="12">#REF!</definedName>
    <definedName name="elr1_2" localSheetId="3">#REF!</definedName>
    <definedName name="elr1_2" localSheetId="11">#REF!</definedName>
    <definedName name="elr1_2">#REF!</definedName>
    <definedName name="elv50x40" localSheetId="12">#REF!</definedName>
    <definedName name="elv50x40" localSheetId="8">#REF!</definedName>
    <definedName name="elv50x40" localSheetId="3">#REF!</definedName>
    <definedName name="elv50x40" localSheetId="11">#REF!</definedName>
    <definedName name="elv50x40">#REF!</definedName>
    <definedName name="EMPRESA">#REF!</definedName>
    <definedName name="enc" localSheetId="8">#REF!</definedName>
    <definedName name="enc">#REF!</definedName>
    <definedName name="ENCANADOR">#REF!</definedName>
    <definedName name="ENE" localSheetId="8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#REF!</definedName>
    <definedName name="ENGATE_STORZ">#REF!</definedName>
    <definedName name="engenc">#REF!</definedName>
    <definedName name="epm2.5" localSheetId="8">#REF!</definedName>
    <definedName name="epm2.5">#REF!</definedName>
    <definedName name="EQPOTENC" localSheetId="8">[1]SERVIÇO!#REF!</definedName>
    <definedName name="EQPOTENC">[1]SERVIÇO!#REF!</definedName>
    <definedName name="ER">NA()</definedName>
    <definedName name="erfer">[4]ORC!#REF!</definedName>
    <definedName name="ESCORA">[3]Insumos!$I$72</definedName>
    <definedName name="esm" localSheetId="12">#REF!</definedName>
    <definedName name="esm" localSheetId="8">#REF!</definedName>
    <definedName name="esm" localSheetId="7">#REF!</definedName>
    <definedName name="esm" localSheetId="3">#REF!</definedName>
    <definedName name="esm" localSheetId="11">#REF!</definedName>
    <definedName name="esm">#REF!</definedName>
    <definedName name="ESPRGI">#REF!</definedName>
    <definedName name="ESPRGP">#REF!</definedName>
    <definedName name="est" localSheetId="12">#REF!</definedName>
    <definedName name="est" localSheetId="8">#REF!</definedName>
    <definedName name="est" localSheetId="3">#REF!</definedName>
    <definedName name="est" localSheetId="11">#REF!</definedName>
    <definedName name="est">#REF!</definedName>
    <definedName name="est1.5_15" localSheetId="12">#REF!</definedName>
    <definedName name="est1.5_15" localSheetId="3">#REF!</definedName>
    <definedName name="est1.5_15" localSheetId="11">#REF!</definedName>
    <definedName name="est1.5_15">#REF!</definedName>
    <definedName name="EXA" localSheetId="8">'[2]PRO-08'!#REF!</definedName>
    <definedName name="EXA">'[2]PRO-08'!#REF!</definedName>
    <definedName name="Excel_BuiltIn__FilterDatabase">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 localSheetId="12">#REF!</definedName>
    <definedName name="Excel_BuiltIn_Print_Area_1_1" localSheetId="8">#REF!</definedName>
    <definedName name="Excel_BuiltIn_Print_Area_1_1" localSheetId="7">#REF!</definedName>
    <definedName name="Excel_BuiltIn_Print_Area_1_1" localSheetId="3">#REF!</definedName>
    <definedName name="Excel_BuiltIn_Print_Area_1_1" localSheetId="11">#REF!</definedName>
    <definedName name="Excel_BuiltIn_Print_Area_1_1">#REF!</definedName>
    <definedName name="Excel_BuiltIn_Print_Area_1_1_1" localSheetId="12">#REF!</definedName>
    <definedName name="Excel_BuiltIn_Print_Area_1_1_1" localSheetId="8">#REF!</definedName>
    <definedName name="Excel_BuiltIn_Print_Area_1_1_1" localSheetId="3">#REF!</definedName>
    <definedName name="Excel_BuiltIn_Print_Area_1_1_1" localSheetId="11">#REF!</definedName>
    <definedName name="Excel_BuiltIn_Print_Area_1_1_1">#REF!</definedName>
    <definedName name="Excel_BuiltIn_Print_Area_1_1_1_4" localSheetId="12">#REF!</definedName>
    <definedName name="Excel_BuiltIn_Print_Area_1_1_1_4" localSheetId="3">#REF!</definedName>
    <definedName name="Excel_BuiltIn_Print_Area_1_1_1_4" localSheetId="1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#REF!</definedName>
    <definedName name="Excel_BuiltIn_Print_Area_13_1">#REF!</definedName>
    <definedName name="Excel_BuiltIn_Print_Area_14">#REF!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_1">#REF!</definedName>
    <definedName name="Excel_BuiltIn_Print_Area_2_1_1" localSheetId="8">#REF!</definedName>
    <definedName name="Excel_BuiltIn_Print_Area_2_1_1">NA()</definedName>
    <definedName name="Excel_BuiltIn_Print_Area_20" localSheetId="12">#REF!</definedName>
    <definedName name="Excel_BuiltIn_Print_Area_20" localSheetId="7">#REF!</definedName>
    <definedName name="Excel_BuiltIn_Print_Area_20" localSheetId="3">#REF!</definedName>
    <definedName name="Excel_BuiltIn_Print_Area_20" localSheetId="11">#REF!</definedName>
    <definedName name="Excel_BuiltIn_Print_Area_20">#REF!</definedName>
    <definedName name="Excel_BuiltIn_Print_Area_21" localSheetId="12">#REF!</definedName>
    <definedName name="Excel_BuiltIn_Print_Area_21" localSheetId="3">#REF!</definedName>
    <definedName name="Excel_BuiltIn_Print_Area_21" localSheetId="11">#REF!</definedName>
    <definedName name="Excel_BuiltIn_Print_Area_21">#REF!</definedName>
    <definedName name="Excel_BuiltIn_Print_Area_21_1" localSheetId="12">#REF!</definedName>
    <definedName name="Excel_BuiltIn_Print_Area_21_1" localSheetId="3">#REF!</definedName>
    <definedName name="Excel_BuiltIn_Print_Area_21_1" localSheetId="1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">#REF!</definedName>
    <definedName name="Excel_BuiltIn_Print_Area_3_1">#REF!</definedName>
    <definedName name="Excel_BuiltIn_Print_Area_33_1">#REF!</definedName>
    <definedName name="Excel_BuiltIn_Print_Area_4" localSheetId="8">#REF!</definedName>
    <definedName name="Excel_BuiltIn_Print_Area_4">#REF!</definedName>
    <definedName name="Excel_BuiltIn_Print_Area_5">#REF!</definedName>
    <definedName name="Excel_BuiltIn_Print_Area_5_1" localSheetId="8">#REF!</definedName>
    <definedName name="Excel_BuiltIn_Print_Area_5_1">#REF!</definedName>
    <definedName name="Excel_BuiltIn_Print_Area_6_1">#REF!</definedName>
    <definedName name="Excel_BuiltIn_Print_Area_7_1" localSheetId="12">(#REF!,#REF!,#REF!,#REF!,#REF!)</definedName>
    <definedName name="Excel_BuiltIn_Print_Area_7_1" localSheetId="8">#REF!</definedName>
    <definedName name="Excel_BuiltIn_Print_Area_7_1" localSheetId="7">(#REF!,#REF!,#REF!,#REF!,#REF!)</definedName>
    <definedName name="Excel_BuiltIn_Print_Area_7_1" localSheetId="3">(#REF!,#REF!,#REF!,#REF!,#REF!)</definedName>
    <definedName name="Excel_BuiltIn_Print_Area_7_1" localSheetId="11">(#REF!,#REF!,#REF!,#REF!,#REF!)</definedName>
    <definedName name="Excel_BuiltIn_Print_Area_7_1">(#REF!,#REF!,#REF!,#REF!,#REF!)</definedName>
    <definedName name="Excel_BuiltIn_Print_Area_8">#REF!</definedName>
    <definedName name="Excel_BuiltIn_Print_Area_9">#REF!</definedName>
    <definedName name="Excel_BuiltIn_Print_Area_9_1" localSheetId="12">#REF!</definedName>
    <definedName name="Excel_BuiltIn_Print_Area_9_1" localSheetId="7">#REF!</definedName>
    <definedName name="Excel_BuiltIn_Print_Area_9_1" localSheetId="3">#REF!</definedName>
    <definedName name="Excel_BuiltIn_Print_Area_9_1" localSheetId="11">#REF!</definedName>
    <definedName name="Excel_BuiltIn_Print_Area_9_1">#REF!</definedName>
    <definedName name="Excel_BuiltIn_Print_Titles" localSheetId="12">#REF!</definedName>
    <definedName name="Excel_BuiltIn_Print_Titles" localSheetId="3">#REF!</definedName>
    <definedName name="Excel_BuiltIn_Print_Titles" localSheetId="11">#REF!</definedName>
    <definedName name="Excel_BuiltIn_Print_Titles">#REF!</definedName>
    <definedName name="Excel_BuiltIn_Print_Titles_1" localSheetId="12">#REF!</definedName>
    <definedName name="Excel_BuiltIn_Print_Titles_1" localSheetId="3">#REF!</definedName>
    <definedName name="Excel_BuiltIn_Print_Titles_1" localSheetId="11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 localSheetId="12">#REF!</definedName>
    <definedName name="Excel_BuiltIn_Print_Titles_16_5" localSheetId="7">#REF!</definedName>
    <definedName name="Excel_BuiltIn_Print_Titles_16_5" localSheetId="3">#REF!</definedName>
    <definedName name="Excel_BuiltIn_Print_Titles_16_5" localSheetId="11">#REF!</definedName>
    <definedName name="Excel_BuiltIn_Print_Titles_16_5">#REF!</definedName>
    <definedName name="Excel_BuiltIn_Print_Titles_16_5_4" localSheetId="12">#REF!</definedName>
    <definedName name="Excel_BuiltIn_Print_Titles_16_5_4" localSheetId="3">#REF!</definedName>
    <definedName name="Excel_BuiltIn_Print_Titles_16_5_4" localSheetId="11">#REF!</definedName>
    <definedName name="Excel_BuiltIn_Print_Titles_16_5_4">#REF!</definedName>
    <definedName name="Excel_BuiltIn_Print_Titles_16_6" localSheetId="12">#REF!</definedName>
    <definedName name="Excel_BuiltIn_Print_Titles_16_6" localSheetId="3">#REF!</definedName>
    <definedName name="Excel_BuiltIn_Print_Titles_16_6" localSheetId="11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18">#REF!</definedName>
    <definedName name="Excel_BuiltIn_Print_Titles_2_1" localSheetId="8">#REF!</definedName>
    <definedName name="Excel_BuiltIn_Print_Titles_2_1">#REF!</definedName>
    <definedName name="Excel_BuiltIn_Print_Titles_2_1_1" localSheetId="8">#REF!,#REF!</definedName>
    <definedName name="Excel_BuiltIn_Print_Titles_2_1_1">#REF!,#REF!</definedName>
    <definedName name="Excel_BuiltIn_Print_Titles_20">#REF!</definedName>
    <definedName name="Excel_BuiltIn_Print_Titles_3">NA()</definedName>
    <definedName name="Excel_BuiltIn_Print_Titles_3_1_1" localSheetId="8">#REF!,#REF!</definedName>
    <definedName name="Excel_BuiltIn_Print_Titles_3_1_1">#REF!,#REF!</definedName>
    <definedName name="Excel_BuiltIn_Print_Titles_3_1_1_1" localSheetId="8">#REF!,#REF!</definedName>
    <definedName name="Excel_BuiltIn_Print_Titles_3_1_1_1">#REF!,#REF!</definedName>
    <definedName name="Excel_BuiltIn_Print_Titles_3_1_1_1_1">#REF!,#REF!</definedName>
    <definedName name="Excel_BuiltIn_Print_Titles_3_1_1_1_1_1" localSheetId="8">#REF!</definedName>
    <definedName name="Excel_BuiltIn_Print_Titles_3_1_1_1_1_1">#REF!</definedName>
    <definedName name="Excel_BuiltIn_Print_Titles_8">#REF!</definedName>
    <definedName name="ext">#REF!</definedName>
    <definedName name="Extenso" localSheetId="8">#N/A</definedName>
    <definedName name="Extenso">Extenso</definedName>
    <definedName name="F">[4]ORC!#REF!</definedName>
    <definedName name="FATOR">NA()</definedName>
    <definedName name="fc1a" localSheetId="8">'[2]PRO-08'!#REF!</definedName>
    <definedName name="fc1a">'[2]PRO-08'!#REF!</definedName>
    <definedName name="FC2A" localSheetId="8">'[2]PRO-08'!#REF!</definedName>
    <definedName name="FC2A">'[2]PRO-08'!#REF!</definedName>
    <definedName name="FC3A" localSheetId="8">'[2]PRO-08'!#REF!</definedName>
    <definedName name="FC3A">'[2]PRO-08'!#REF!</definedName>
    <definedName name="fcd">'[7]CPU ATRIUM'!$D:$D</definedName>
    <definedName name="fcm" localSheetId="12">#REF!</definedName>
    <definedName name="fcm" localSheetId="8">#REF!</definedName>
    <definedName name="fcm" localSheetId="7">#REF!</definedName>
    <definedName name="fcm" localSheetId="3">#REF!</definedName>
    <definedName name="fcm" localSheetId="11">#REF!</definedName>
    <definedName name="fcm">#REF!</definedName>
    <definedName name="FCRITER" localSheetId="8">[1]SERVIÇO!#REF!</definedName>
    <definedName name="FCRITER">[1]SERVIÇO!#REF!</definedName>
    <definedName name="fda" localSheetId="8">{"total","SUM(total)","YNNNN",FALSE}</definedName>
    <definedName name="fda">{"total","SUM(total)","YNNNN",FALSE}</definedName>
    <definedName name="fds">#REF!</definedName>
    <definedName name="fdsa">#REF!</definedName>
    <definedName name="fe">#REF!</definedName>
    <definedName name="fer" localSheetId="12">#REF!</definedName>
    <definedName name="fer" localSheetId="8">#REF!</definedName>
    <definedName name="fer" localSheetId="3">#REF!</definedName>
    <definedName name="fer" localSheetId="11">#REF!</definedName>
    <definedName name="fer">#REF!</definedName>
    <definedName name="FFFFFF">#REF!</definedName>
    <definedName name="FGV_alteração">[6]Auxiliar!$J$2:$J$4</definedName>
    <definedName name="FoFo" localSheetId="12">#REF!</definedName>
    <definedName name="FoFo" localSheetId="3">#REF!</definedName>
    <definedName name="FoFo" localSheetId="11">#REF!</definedName>
    <definedName name="FoFo">#REF!</definedName>
    <definedName name="FORMA_MAD_BRANCA" localSheetId="8">#REF!</definedName>
    <definedName name="FORMA_MAD_BRANCA">#REF!</definedName>
    <definedName name="Formatação_Amarelo_comCusto" localSheetId="8">INDIRECT("'Analítico CCUs'!$W$2:$X$"&amp;'[8]Analítico CCUs'!$E$2)</definedName>
    <definedName name="Formatação_Amarelo_comCusto">INDIRECT("'Analítico CCUs'!$W$2:$X$"&amp;'[8]Analítico CCUs'!$E$2)</definedName>
    <definedName name="Formatação_Azul" localSheetId="8">INDIRECT("'Analítico CCUs'!$P$2:$X$"&amp;'[8]Analítico CCUs'!$E$2)</definedName>
    <definedName name="Formatação_Azul">INDIRECT("'Analítico CCUs'!$P$2:$X$"&amp;'[8]Analítico CCUs'!$E$2)</definedName>
    <definedName name="Formatação_Vermelho" localSheetId="8">INDIRECT("'Analítico CCUs'!$F$2:$N$"&amp;'[8]Analítico CCUs'!$E$2)</definedName>
    <definedName name="Formatação_Vermelho">INDIRECT("'Analítico CCUs'!$F$2:$N$"&amp;'[8]Analítico CCUs'!$E$2)</definedName>
    <definedName name="fossa">#REF!</definedName>
    <definedName name="Fromatação_Amarelo_semCusto" localSheetId="8">INDIRECT("'Analítico CCUs'!$P$2:$V$"&amp;'[8]Analítico CCUs'!$E$2)</definedName>
    <definedName name="Fromatação_Amarelo_semCusto">INDIRECT("'Analítico CCUs'!$P$2:$V$"&amp;'[8]Analítico CCUs'!$E$2)</definedName>
    <definedName name="fsa">#REF!</definedName>
    <definedName name="FT" localSheetId="8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">#REF!</definedName>
    <definedName name="GAS" localSheetId="8">#REF!</definedName>
    <definedName name="GAS">#REF!</definedName>
    <definedName name="GAS_CARBONICO_6KG" localSheetId="8">#REF!</definedName>
    <definedName name="GAS_CARBONICO_6KG">#REF!</definedName>
    <definedName name="gdc" localSheetId="8">#REF!</definedName>
    <definedName name="gdc">#REF!</definedName>
    <definedName name="GESSO" localSheetId="8">#REF!</definedName>
    <definedName name="GESSO">#REF!</definedName>
    <definedName name="GFD">#REF!</definedName>
    <definedName name="gfg">#REF!</definedName>
    <definedName name="gfv">#REF!</definedName>
    <definedName name="ggm" localSheetId="8">#REF!</definedName>
    <definedName name="ggm">#REF!</definedName>
    <definedName name="ghb">#REF!</definedName>
    <definedName name="ghj">#REF!</definedName>
    <definedName name="graf">#REF!</definedName>
    <definedName name="GRANITO_AMENDOA">#REF!</definedName>
    <definedName name="GRANITO_CINZA_CORUMBA">#REF!</definedName>
    <definedName name="GRDI">#REF!</definedName>
    <definedName name="GRDP">#REF!</definedName>
    <definedName name="GRI" localSheetId="8">#REF!</definedName>
    <definedName name="GRI">#REF!</definedName>
    <definedName name="GRP" localSheetId="8">#REF!</definedName>
    <definedName name="GRP">#REF!</definedName>
    <definedName name="grx" localSheetId="8">#REF!</definedName>
    <definedName name="grx">#REF!</definedName>
    <definedName name="GUSTAVO" localSheetId="8">{"total","SUM(total)","YNNNN",FALSE}</definedName>
    <definedName name="GUSTAVO">{"total","SUM(total)","YNNNN",FALSE}</definedName>
    <definedName name="gvc">#REF!</definedName>
    <definedName name="hi" localSheetId="8">#REF!</definedName>
    <definedName name="hi">#REF!</definedName>
    <definedName name="hid1_2">#REF!</definedName>
    <definedName name="HJN">#REF!</definedName>
    <definedName name="HOJE" localSheetId="8">[1]SERVIÇO!#REF!</definedName>
    <definedName name="HOJE">[1]SERVIÇO!#REF!</definedName>
    <definedName name="I" localSheetId="8">#REF!</definedName>
    <definedName name="I">#REF!</definedName>
    <definedName name="IGOL_2" localSheetId="8">#REF!</definedName>
    <definedName name="IGOL_2">#REF!</definedName>
    <definedName name="IGOLFLEX" localSheetId="8">#REF!</definedName>
    <definedName name="IGOLFLEX">#REF!</definedName>
    <definedName name="IM">#REF!</definedName>
    <definedName name="IMPERMEABILIZANTE_SIKA">#REF!</definedName>
    <definedName name="IMPF" localSheetId="8">[1]SERVIÇO!#REF!</definedName>
    <definedName name="IMPF">[1]SERVIÇO!#REF!</definedName>
    <definedName name="IMPI" localSheetId="8">[1]SERVIÇO!#REF!</definedName>
    <definedName name="IMPI">[1]SERVIÇO!#REF!</definedName>
    <definedName name="Insumos">'[9]RELAÇÃO - COMPOSIÇÕES E INSUMOS'!$A$7:$D$337</definedName>
    <definedName name="ipf" localSheetId="8">#REF!</definedName>
    <definedName name="ipf">#REF!</definedName>
    <definedName name="ITEMCONT" localSheetId="8">[1]SERVIÇO!#REF!</definedName>
    <definedName name="ITEMCONT">[1]SERVIÇO!#REF!</definedName>
    <definedName name="ITEMDER" localSheetId="8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itus1">#REF!</definedName>
    <definedName name="j">#REF!</definedName>
    <definedName name="jazida5" localSheetId="8">#REF!</definedName>
    <definedName name="jazida5" localSheetId="7">#REF!</definedName>
    <definedName name="jazida5">#REF!</definedName>
    <definedName name="jazida6" localSheetId="8">#REF!</definedName>
    <definedName name="jazida6" localSheetId="7">#REF!</definedName>
    <definedName name="jazida6">#REF!</definedName>
    <definedName name="JJJ">#REF!</definedName>
    <definedName name="jla1\220">#REF!</definedName>
    <definedName name="jla1_220">#REF!</definedName>
    <definedName name="JOAO">#REF!</definedName>
    <definedName name="JRS" localSheetId="8">#REF!</definedName>
    <definedName name="JRS">#REF!</definedName>
    <definedName name="JUNTA_PLÁSTICA" localSheetId="8">#REF!</definedName>
    <definedName name="JUNTA_PLÁSTICA">#REF!</definedName>
    <definedName name="KJH">#REF!</definedName>
    <definedName name="KORODUR" localSheetId="8">#REF!</definedName>
    <definedName name="KORODUR">#REF!</definedName>
    <definedName name="LAMBRI_IPÊ" localSheetId="8">#REF!</definedName>
    <definedName name="LAMBRI_IPÊ">#REF!</definedName>
    <definedName name="LANÇAMENTO_CONCRETO">#REF!</definedName>
    <definedName name="LIGAÇÃO_FLEXIVEL">#REF!</definedName>
    <definedName name="LILASDRENA">#REF!</definedName>
    <definedName name="LIN" localSheetId="8">[1]SERVIÇO!#REF!</definedName>
    <definedName name="LIN">[1]SERVIÇO!#REF!</definedName>
    <definedName name="LIQUIDO_PREPARADOR" localSheetId="8">#REF!</definedName>
    <definedName name="LIQUIDO_PREPARADOR">#REF!</definedName>
    <definedName name="LIQUIDO_SELADOR">[3]Insumos!$I$361</definedName>
    <definedName name="LISTSEL" localSheetId="8">[1]SERVIÇO!#REF!</definedName>
    <definedName name="LISTSEL">[1]SERVIÇO!#REF!</definedName>
    <definedName name="LIXA_FERRO" localSheetId="8">#REF!</definedName>
    <definedName name="LIXA_FERRO">#REF!</definedName>
    <definedName name="LIXA_MADEIRA">[3]Insumos!$I$374</definedName>
    <definedName name="lkj">#REF!</definedName>
    <definedName name="llllllll">[4]ORC!#REF!</definedName>
    <definedName name="lm6_3">#REF!</definedName>
    <definedName name="lnm" localSheetId="8">#REF!</definedName>
    <definedName name="lnm">#REF!</definedName>
    <definedName name="LOCAB" localSheetId="8">[1]SERVIÇO!#REF!</definedName>
    <definedName name="LOCAB">[1]SERVIÇO!#REF!</definedName>
    <definedName name="LOCAL" localSheetId="8">[1]SERVIÇO!#REF!</definedName>
    <definedName name="LOCAL">[1]SERVIÇO!#REF!</definedName>
    <definedName name="lpb" localSheetId="8">#REF!</definedName>
    <definedName name="lpb">#REF!</definedName>
    <definedName name="LS" localSheetId="8">#REF!</definedName>
    <definedName name="ls" localSheetId="7">#REF!</definedName>
    <definedName name="ls">#REF!</definedName>
    <definedName name="ls_1">#REF!</definedName>
    <definedName name="LSO" localSheetId="8">#REF!</definedName>
    <definedName name="LSO">#REF!</definedName>
    <definedName name="lub" localSheetId="8">#REF!</definedName>
    <definedName name="lub" localSheetId="7">#REF!</definedName>
    <definedName name="lub">#REF!</definedName>
    <definedName name="lub_1">#REF!</definedName>
    <definedName name="lvg12050\1">#REF!</definedName>
    <definedName name="lvg12050_1">#REF!</definedName>
    <definedName name="lvp1\2">#REF!</definedName>
    <definedName name="lvp1_2">#REF!</definedName>
    <definedName name="lvr">#REF!</definedName>
    <definedName name="lxa" localSheetId="8">#REF!</definedName>
    <definedName name="lxa">#REF!</definedName>
    <definedName name="lxaf">#REF!</definedName>
    <definedName name="mad" localSheetId="8">#REF!</definedName>
    <definedName name="mad">#REF!</definedName>
    <definedName name="MANGUEIRA_30_M" localSheetId="8">#REF!</definedName>
    <definedName name="MANGUEIRA_30_M">#REF!</definedName>
    <definedName name="map" localSheetId="8">#REF!</definedName>
    <definedName name="map">#REF!</definedName>
    <definedName name="MARCAX" localSheetId="8">[1]SERVIÇO!#REF!</definedName>
    <definedName name="MARCAX">[1]SERVIÇO!#REF!</definedName>
    <definedName name="MARCENEIRO" localSheetId="8">#REF!</definedName>
    <definedName name="MARCENEIRO">#REF!</definedName>
    <definedName name="MARMORE_BRANCO" localSheetId="8">#REF!</definedName>
    <definedName name="MARMORE_BRANCO">#REF!</definedName>
    <definedName name="Mary" localSheetId="8">{"total","SUM(total)","YNNNN",FALSE}</definedName>
    <definedName name="Mary">{"total","SUM(total)","YNNNN",FALSE}</definedName>
    <definedName name="MASSA_OLEO" localSheetId="8">#REF!</definedName>
    <definedName name="MASSA_OLEO">#REF!</definedName>
    <definedName name="MASSA_PVA">[3]Insumos!$I$363</definedName>
    <definedName name="MBBI">#REF!</definedName>
    <definedName name="MBBP">#REF!</definedName>
    <definedName name="MBV">#REF!</definedName>
    <definedName name="mdn" localSheetId="8">#REF!</definedName>
    <definedName name="mdn">#REF!</definedName>
    <definedName name="Medição" localSheetId="8">#REF!</definedName>
    <definedName name="Medição">#REF!</definedName>
    <definedName name="meio" localSheetId="8">#REF!</definedName>
    <definedName name="meio" localSheetId="7">#REF!</definedName>
    <definedName name="meio">#REF!</definedName>
    <definedName name="meio_1">#REF!</definedName>
    <definedName name="MENUBOM" localSheetId="8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irin" localSheetId="8">{"total","SUM(total)","YNNNN",FALSE}</definedName>
    <definedName name="Mirin">{"total","SUM(total)","YNNNN",FALSE}</definedName>
    <definedName name="MNI" localSheetId="8">#REF!</definedName>
    <definedName name="MNI">#REF!</definedName>
    <definedName name="MNP" localSheetId="8">#REF!</definedName>
    <definedName name="MNP">#REF!</definedName>
    <definedName name="MNVI">#REF!</definedName>
    <definedName name="MNVP">#REF!</definedName>
    <definedName name="MOD" localSheetId="8">{"total","SUM(total)","YNNNN",FALSE}</definedName>
    <definedName name="MOD">{"total","SUM(total)","YNNNN",FALSE}</definedName>
    <definedName name="MODIFICAÇÃO" localSheetId="8">{"total","SUM(total)","YNNNN",FALSE}</definedName>
    <definedName name="MODIFICAÇÃO">{"total","SUM(total)","YNNNN",FALSE}</definedName>
    <definedName name="módulo1.Extenso" localSheetId="8">#N/A</definedName>
    <definedName name="módulo1.Extenso">módulo1.Extenso</definedName>
    <definedName name="mour">#REF!</definedName>
    <definedName name="mpm2.5" localSheetId="8">#REF!</definedName>
    <definedName name="mpm2.5">#REF!</definedName>
    <definedName name="MS621I">#REF!</definedName>
    <definedName name="MS621P">#REF!</definedName>
    <definedName name="msv" localSheetId="8">#REF!</definedName>
    <definedName name="msv">#REF!</definedName>
    <definedName name="MUNCKI">#REF!</definedName>
    <definedName name="MUNCKP">#REF!</definedName>
    <definedName name="MUNICIPIO" localSheetId="8">[1]SERVIÇO!#REF!</definedName>
    <definedName name="MUNICIPIO">[1]SERVIÇO!#REF!</definedName>
    <definedName name="MURBOMB" localSheetId="8">[1]SERVIÇO!#REF!</definedName>
    <definedName name="MURBOMB">[1]SERVIÇO!#REF!</definedName>
    <definedName name="NDATA">[1]SERVIÇO!#REF!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>'[2]PRO-08'!#REF!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od" localSheetId="8">#REF!</definedName>
    <definedName name="od" localSheetId="7">#REF!</definedName>
    <definedName name="od">#REF!</definedName>
    <definedName name="od_1">#REF!</definedName>
    <definedName name="odi" localSheetId="8">#REF!</definedName>
    <definedName name="odi">#REF!</definedName>
    <definedName name="of" localSheetId="8">#REF!</definedName>
    <definedName name="of" localSheetId="7">#REF!</definedName>
    <definedName name="of">#REF!</definedName>
    <definedName name="of_1">#REF!</definedName>
    <definedName name="ofc">#REF!</definedName>
    <definedName name="ofi" localSheetId="8">#REF!</definedName>
    <definedName name="ofi">#REF!</definedName>
    <definedName name="OGU" localSheetId="8">#REF!</definedName>
    <definedName name="OGU">#REF!</definedName>
    <definedName name="OK">#REF!</definedName>
    <definedName name="oli">#REF!</definedName>
    <definedName name="OOO">#REF!</definedName>
    <definedName name="OPA">'[2]PRO-08'!#REF!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41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r">#REF!</definedName>
    <definedName name="PARAFUSO_PARA_LOUÇA" localSheetId="8">#REF!</definedName>
    <definedName name="PARAFUSO_PARA_LOUÇA">#REF!</definedName>
    <definedName name="pcf60x210" localSheetId="8">#REF!</definedName>
    <definedName name="pcf60x210">#REF!</definedName>
    <definedName name="pcf80x200" localSheetId="8">#REF!</definedName>
    <definedName name="pcf80x200">#REF!</definedName>
    <definedName name="pcf80x210" localSheetId="8">#REF!</definedName>
    <definedName name="pcf80x210">#REF!</definedName>
    <definedName name="pcfc">#REF!</definedName>
    <definedName name="PDER" localSheetId="8">[1]SERVIÇO!#REF!</definedName>
    <definedName name="PDER">[1]SERVIÇO!#REF!</definedName>
    <definedName name="PDIVERS">[1]SERVIÇO!#REF!</definedName>
    <definedName name="pdm" localSheetId="8">#REF!</definedName>
    <definedName name="pdm" localSheetId="7">#REF!</definedName>
    <definedName name="pdm">#REF!</definedName>
    <definedName name="pdm_1">#REF!</definedName>
    <definedName name="PEÇA_6_X_3_MAD_LEI" localSheetId="8">#REF!</definedName>
    <definedName name="PEÇA_6_X_3_MAD_LEI">#REF!</definedName>
    <definedName name="pedra" localSheetId="8">#REF!</definedName>
    <definedName name="pedra" localSheetId="7">#REF!</definedName>
    <definedName name="pedra">#REF!</definedName>
    <definedName name="pedra_1">#REF!</definedName>
    <definedName name="PEDRA_PRETA">[3]Insumos!$I$12</definedName>
    <definedName name="PEDREIRO" localSheetId="8">#REF!</definedName>
    <definedName name="PEDREIRO">#REF!</definedName>
    <definedName name="PEMD" localSheetId="8">[1]SERVIÇO!#REF!</definedName>
    <definedName name="PEMD">[1]SERVIÇO!#REF!</definedName>
    <definedName name="PERNAMANCA">[3]Insumos!$I$71</definedName>
    <definedName name="PERNAMANCA_MAD_LEI" localSheetId="8">#REF!</definedName>
    <definedName name="PERNAMANCA_MAD_LEI">#REF!</definedName>
    <definedName name="pes">#REF!</definedName>
    <definedName name="pesquisa" localSheetId="8">#REF!</definedName>
    <definedName name="pesquisa">#REF!</definedName>
    <definedName name="PIEQUIP" localSheetId="8">[1]SERVIÇO!#REF!</definedName>
    <definedName name="PIEQUIP">[1]SERVIÇO!#REF!</definedName>
    <definedName name="pig">#REF!</definedName>
    <definedName name="PII">#REF!</definedName>
    <definedName name="PINTOR" localSheetId="8">#REF!</definedName>
    <definedName name="PINTOR">#REF!</definedName>
    <definedName name="PIP" localSheetId="8">#REF!</definedName>
    <definedName name="PIP">#REF!</definedName>
    <definedName name="PIPAI">#REF!</definedName>
    <definedName name="PIPAP">#REF!</definedName>
    <definedName name="PL" localSheetId="8">#REF!</definedName>
    <definedName name="PL">#REF!</definedName>
    <definedName name="planilha">NA()</definedName>
    <definedName name="planilha_1">NA()</definedName>
    <definedName name="plc" localSheetId="12">#REF!</definedName>
    <definedName name="plc" localSheetId="8">#REF!</definedName>
    <definedName name="plc" localSheetId="7">#REF!</definedName>
    <definedName name="plc" localSheetId="3">#REF!</definedName>
    <definedName name="plc" localSheetId="11">#REF!</definedName>
    <definedName name="plc">#REF!</definedName>
    <definedName name="plc2.5" localSheetId="12">#REF!</definedName>
    <definedName name="plc2.5" localSheetId="8">#REF!</definedName>
    <definedName name="plc2.5" localSheetId="3">#REF!</definedName>
    <definedName name="plc2.5" localSheetId="11">#REF!</definedName>
    <definedName name="plc2.5">#REF!</definedName>
    <definedName name="PMS" localSheetId="12">#REF!</definedName>
    <definedName name="PMS" localSheetId="8">#REF!</definedName>
    <definedName name="PMS" localSheetId="3">#REF!</definedName>
    <definedName name="PMS" localSheetId="11">#REF!</definedName>
    <definedName name="PMS">#REF!</definedName>
    <definedName name="PMUR" localSheetId="8">[1]SERVIÇO!#REF!</definedName>
    <definedName name="PMUR">[1]SERVIÇO!#REF!</definedName>
    <definedName name="PO_QUIMICO_4KG" localSheetId="8">#REF!</definedName>
    <definedName name="PO_QUIMICO_4KG">#REF!</definedName>
    <definedName name="pont">#REF!</definedName>
    <definedName name="pontal">#REF!</definedName>
    <definedName name="PONTALETE" localSheetId="8">#REF!</definedName>
    <definedName name="PONTALETE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8">#REF!</definedName>
    <definedName name="port" localSheetId="7">#REF!</definedName>
    <definedName name="port">#REF!</definedName>
    <definedName name="port_1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8">#REF!</definedName>
    <definedName name="PREF" localSheetId="7">#REF!</definedName>
    <definedName name="PREF">#REF!</definedName>
    <definedName name="PREF_1">#REF!</definedName>
    <definedName name="pref_4">#REF!</definedName>
    <definedName name="prego" localSheetId="8">#REF!</definedName>
    <definedName name="prego">#REF!</definedName>
    <definedName name="PREGO_1_X_16">#REF!</definedName>
    <definedName name="PREGO_2_12_X_12">#REF!</definedName>
    <definedName name="PREGO_2_12X10">#REF!</definedName>
    <definedName name="PREGO_2X11">#REF!</definedName>
    <definedName name="PREGO_2X12">#REF!</definedName>
    <definedName name="prf" localSheetId="8">#REF!</definedName>
    <definedName name="prf">#REF!</definedName>
    <definedName name="prg" localSheetId="8">#REF!</definedName>
    <definedName name="prg">#REF!</definedName>
    <definedName name="PROJ" localSheetId="8">#REF!</definedName>
    <definedName name="PROJ">#REF!</definedName>
    <definedName name="prtm">#REF!</definedName>
    <definedName name="PTGERAL" localSheetId="8">[1]SERVIÇO!#REF!</definedName>
    <definedName name="PTGERAL">[1]SERVIÇO!#REF!</definedName>
    <definedName name="ptt3x2">#REF!</definedName>
    <definedName name="PVC">#REF!</definedName>
    <definedName name="qgm" localSheetId="8">#REF!</definedName>
    <definedName name="qgm">#REF!</definedName>
    <definedName name="QQ_2" localSheetId="8">#N/A</definedName>
    <definedName name="QQ_2">QQ_2</definedName>
    <definedName name="QTNULO" localSheetId="8">[1]SERVIÇO!#REF!</definedName>
    <definedName name="QTNULO">[1]SERVIÇO!#REF!</definedName>
    <definedName name="QTPADRAO" localSheetId="8">[1]SERVIÇO!#REF!</definedName>
    <definedName name="QTPADRAO">[1]SERVIÇO!#REF!</definedName>
    <definedName name="QTRES">[1]SERVIÇO!#REF!</definedName>
    <definedName name="QUANT">#REF!</definedName>
    <definedName name="QUANTP">[1]SERVIÇO!#REF!</definedName>
    <definedName name="RARQIMP">[1]SERVIÇO!#REF!</definedName>
    <definedName name="RBV">[10]Teor!$C$3:$C$7</definedName>
    <definedName name="RCA15I">#REF!</definedName>
    <definedName name="RCA15P">#REF!</definedName>
    <definedName name="RCA25I">#REF!</definedName>
    <definedName name="RCA25P">#REF!</definedName>
    <definedName name="rdt13.8">#REF!</definedName>
    <definedName name="rec" localSheetId="8">#REF!</definedName>
    <definedName name="rec">#REF!</definedName>
    <definedName name="RECADUC" localSheetId="8">[1]SERVIÇO!#REF!</definedName>
    <definedName name="RECADUC">[1]SERVIÇO!#REF!</definedName>
    <definedName name="Recorder">#REF!</definedName>
    <definedName name="REFERENTE" localSheetId="8">#REF!</definedName>
    <definedName name="REFERENTE">#REF!</definedName>
    <definedName name="REG" localSheetId="8">#REF!</definedName>
    <definedName name="REG">#REF!</definedName>
    <definedName name="REGUA_DUZIA">[3]Insumos!$I$61</definedName>
    <definedName name="REGULA" localSheetId="8">#REF!</definedName>
    <definedName name="REGULA">#REF!</definedName>
    <definedName name="REJUNTE" localSheetId="8">#REF!</definedName>
    <definedName name="REJUNTE">#REF!</definedName>
    <definedName name="RES" localSheetId="8">#REF!</definedName>
    <definedName name="RES">#REF!</definedName>
    <definedName name="RESUMO" localSheetId="8">#N/A</definedName>
    <definedName name="RESUMO">RESUMO</definedName>
    <definedName name="RETROI">#REF!</definedName>
    <definedName name="RETROP">#REF!</definedName>
    <definedName name="rgG3_4">#REF!</definedName>
    <definedName name="rgp1\2">#REF!</definedName>
    <definedName name="rgp1_2">#REF!</definedName>
    <definedName name="ridbeb" localSheetId="8">[1]SERVIÇO!#REF!</definedName>
    <definedName name="ridbeb">[1]SERVIÇO!#REF!</definedName>
    <definedName name="RIDCHAF" localSheetId="8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IPAO">[3]Insumos!$I$61</definedName>
    <definedName name="RIPÃO" localSheetId="8">#REF!</definedName>
    <definedName name="RIPÃO">#REF!</definedName>
    <definedName name="RIPÃO_COMUM">[3]Insumos!$I$61</definedName>
    <definedName name="RIPÃO_MAD_LEI" localSheetId="8">#REF!</definedName>
    <definedName name="RIPÃO_MAD_LEI">#REF!</definedName>
    <definedName name="RLCG11I">#REF!</definedName>
    <definedName name="RLCG11P">#REF!</definedName>
    <definedName name="RLI" localSheetId="8">#REF!</definedName>
    <definedName name="RLI">#REF!</definedName>
    <definedName name="RLISOI">#REF!</definedName>
    <definedName name="RLISOP">#REF!</definedName>
    <definedName name="RLP" localSheetId="8">#REF!</definedName>
    <definedName name="RLP">#REF!</definedName>
    <definedName name="RMA" localSheetId="8">'[2]PRO-08'!#REF!</definedName>
    <definedName name="RMA">'[2]PRO-08'!#REF!</definedName>
    <definedName name="RODAPE_CINZA_CORUMBA" localSheetId="8">#REF!</definedName>
    <definedName name="RODAPE_CINZA_CORUMBA">#REF!</definedName>
    <definedName name="ROMANO" localSheetId="8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PI">#REF!</definedName>
    <definedName name="RPNEUSI">#REF!</definedName>
    <definedName name="RPNEUSP">#REF!</definedName>
    <definedName name="RPP" localSheetId="8">#REF!</definedName>
    <definedName name="RPP">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rrrrrrrrrr">#REF!</definedName>
    <definedName name="rrrrrrrrrrrr_1">#REF!</definedName>
    <definedName name="RRTEMP">[1]SERVIÇO!#REF!</definedName>
    <definedName name="RS" localSheetId="8">#REF!</definedName>
    <definedName name="RS">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ruas" localSheetId="8">#REF!</definedName>
    <definedName name="ruas" localSheetId="7">#REF!</definedName>
    <definedName name="ruas">#REF!</definedName>
    <definedName name="ruas_1">#REF!</definedName>
    <definedName name="s" localSheetId="8">#REF!</definedName>
    <definedName name="s" localSheetId="7">#REF!</definedName>
    <definedName name="s">#REF!</definedName>
    <definedName name="s14_">#REF!</definedName>
    <definedName name="SAL" localSheetId="8">#REF!</definedName>
    <definedName name="SAL">#REF!</definedName>
    <definedName name="SARRAFO" localSheetId="8">#REF!</definedName>
    <definedName name="SARRAFO">#REF!</definedName>
    <definedName name="sbg" localSheetId="8">#REF!</definedName>
    <definedName name="sbg">#REF!</definedName>
    <definedName name="SBTC" localSheetId="8">#REF!</definedName>
    <definedName name="SBTC">#REF!</definedName>
    <definedName name="sd">#REF!</definedName>
    <definedName name="se" localSheetId="8">#REF!</definedName>
    <definedName name="se" localSheetId="7">#REF!</definedName>
    <definedName name="se">#REF!</definedName>
    <definedName name="se_1">#REF!</definedName>
    <definedName name="seat15">#REF!</definedName>
    <definedName name="SEIXO">#REF!</definedName>
    <definedName name="SemanaTerminando" localSheetId="8">[11]materiais!#REF!</definedName>
    <definedName name="SemanaTerminando">[11]materiais!#REF!</definedName>
    <definedName name="SET">[12]Comp!$E$361:$E$428</definedName>
    <definedName name="SIFÃO_CROMADO" localSheetId="8">#REF!</definedName>
    <definedName name="SIFÃO_CROMADO">#REF!</definedName>
    <definedName name="sin" localSheetId="8">#REF!</definedName>
    <definedName name="sin">#REF!</definedName>
    <definedName name="SISTEM1" localSheetId="8">[1]SERVIÇO!#REF!</definedName>
    <definedName name="SISTEM1">[1]SERVIÇO!#REF!</definedName>
    <definedName name="SISTEM2">[1]SERVIÇO!#REF!</definedName>
    <definedName name="SMIN">#REF!</definedName>
    <definedName name="SOLEIRA_CINZA_CORUMBA" localSheetId="8">#REF!</definedName>
    <definedName name="SOLEIRA_CINZA_CORUMBA">#REF!</definedName>
    <definedName name="sollimp">#REF!</definedName>
    <definedName name="SOLU_LIMPADORA" localSheetId="8">#REF!</definedName>
    <definedName name="SOLU_LIMPADORA">#REF!</definedName>
    <definedName name="srv" localSheetId="8">#REF!</definedName>
    <definedName name="srv">#REF!</definedName>
    <definedName name="SSS" localSheetId="8">[1]SERVIÇO!#REF!</definedName>
    <definedName name="SSS">[4]ORC!#REF!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sum">#REF!</definedName>
    <definedName name="svt" localSheetId="8">#REF!</definedName>
    <definedName name="svt">#REF!</definedName>
    <definedName name="sx" localSheetId="8">#REF!</definedName>
    <definedName name="sx" localSheetId="7">#REF!</definedName>
    <definedName name="sx">#REF!</definedName>
    <definedName name="sx_1">#REF!</definedName>
    <definedName name="sxo" localSheetId="8">#REF!</definedName>
    <definedName name="sxo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ABUA" localSheetId="8">#REF!</definedName>
    <definedName name="TABUA">#REF!</definedName>
    <definedName name="TABUA.METRO" localSheetId="8">#REF!</definedName>
    <definedName name="TABUA.METRO">#REF!</definedName>
    <definedName name="TABUA_DUZIA">[3]Insumos!$I$70</definedName>
    <definedName name="TÁBUA_MAD_FORTE" localSheetId="8">#REF!</definedName>
    <definedName name="TÁBUA_MAD_FORTE">#REF!</definedName>
    <definedName name="TARUGO" localSheetId="8">#REF!</definedName>
    <definedName name="TARUGO">#REF!</definedName>
    <definedName name="tb100cm" localSheetId="8">#REF!</definedName>
    <definedName name="tb100cm" localSheetId="7">#REF!</definedName>
    <definedName name="tb100cm">#REF!</definedName>
    <definedName name="tb100cm_1">#REF!</definedName>
    <definedName name="tb60cm">#REF!</definedName>
    <definedName name="tb80cm">#REF!</definedName>
    <definedName name="tbv" localSheetId="8">#REF!</definedName>
    <definedName name="tbv">#REF!</definedName>
    <definedName name="ted">#REF!</definedName>
    <definedName name="telha">NA()</definedName>
    <definedName name="TELHA_FIBROCIMENTO_6MM" localSheetId="8">#REF!</definedName>
    <definedName name="TELHA_FIBROCIMENTO_6MM">#REF!</definedName>
    <definedName name="TELHA_FRIBOCIMENTO_4MM">#REF!</definedName>
    <definedName name="TELHA_PLAN">#REF!</definedName>
    <definedName name="TELHACRYL">#REF!</definedName>
    <definedName name="Teor">[10]Teor!$A$3:$A$7</definedName>
    <definedName name="ter">#REF!</definedName>
    <definedName name="Terraplenagem" localSheetId="8">#N/A</definedName>
    <definedName name="Terraplenagem">Terraplenagem</definedName>
    <definedName name="tes">#REF!</definedName>
    <definedName name="TID" localSheetId="8">#REF!</definedName>
    <definedName name="TID">#REF!</definedName>
    <definedName name="TIJOLO_10X20X20">[3]Insumos!$I$28</definedName>
    <definedName name="TIJOLO_6_FUROS">[3]Insumos!$I$28</definedName>
    <definedName name="TINTA_ACRILICA" localSheetId="8">#REF!</definedName>
    <definedName name="TINTA_ACRILICA">#REF!</definedName>
    <definedName name="TINTA_ESMALTE" localSheetId="8">#REF!</definedName>
    <definedName name="TINTA_ESMALTE">#REF!</definedName>
    <definedName name="TINTA_NOVACOR" localSheetId="8">#REF!</definedName>
    <definedName name="TINTA_NOVACOR">#REF!</definedName>
    <definedName name="TINTA_OLEO">[3]Insumos!$I$366</definedName>
    <definedName name="TINTA_PVA">[3]Insumos!$I$365</definedName>
    <definedName name="titbeb" localSheetId="8">[1]SERVIÇO!#REF!</definedName>
    <definedName name="titbeb">[1]SERVIÇO!#REF!</definedName>
    <definedName name="TITCHAF" localSheetId="8">[1]SERVIÇO!#REF!</definedName>
    <definedName name="TITCHAF">[1]SERVIÇO!#REF!</definedName>
    <definedName name="_xlnm.Print_Titles" localSheetId="9">'CUSTOS SICRO - SINAPI - ORSE'!$1:$4</definedName>
    <definedName name="tjc" localSheetId="8">#REF!</definedName>
    <definedName name="tjc" localSheetId="7">#REF!</definedName>
    <definedName name="tjc">#REF!</definedName>
    <definedName name="tjf" localSheetId="8">#REF!</definedName>
    <definedName name="tjf">#REF!</definedName>
    <definedName name="tlc" localSheetId="8">#REF!</definedName>
    <definedName name="tlc">#REF!</definedName>
    <definedName name="tlf" localSheetId="8">#REF!</definedName>
    <definedName name="tlf">#REF!</definedName>
    <definedName name="tnp1\2">#REF!</definedName>
    <definedName name="tnp1_2">#REF!</definedName>
    <definedName name="to">#REF!</definedName>
    <definedName name="tof">#REF!</definedName>
    <definedName name="top">#REF!</definedName>
    <definedName name="TOT" localSheetId="8">#REF!</definedName>
    <definedName name="TOT">#REF!</definedName>
    <definedName name="TOT.P">#REF!</definedName>
    <definedName name="TOT1.P">#REF!</definedName>
    <definedName name="TOTAL" localSheetId="8">#REF!</definedName>
    <definedName name="total" localSheetId="7">#REF!</definedName>
    <definedName name="total">#REF!</definedName>
    <definedName name="total_1">#REF!</definedName>
    <definedName name="TOTAL_ADMINISTRATIVO" localSheetId="8">#REF!</definedName>
    <definedName name="TOTAL_ADMINISTRATIVO">#REF!</definedName>
    <definedName name="TOTAL_AULA" localSheetId="8">#REF!</definedName>
    <definedName name="TOTAL_AULA">#REF!</definedName>
    <definedName name="TOTAL_EXTERNA" localSheetId="8">#REF!</definedName>
    <definedName name="TOTAL_EXTERNA">#REF!</definedName>
    <definedName name="TOTAL_QUADRA">#REF!</definedName>
    <definedName name="TOTAL_RESUMO">NA()</definedName>
    <definedName name="TOTAL_VESTIÁRIO">#REF!</definedName>
    <definedName name="TOTQTS" localSheetId="8">[1]SERVIÇO!#REF!</definedName>
    <definedName name="TOTQTS">[1]SERVIÇO!#REF!</definedName>
    <definedName name="tp6_12" localSheetId="12">#REF!</definedName>
    <definedName name="tp6_12" localSheetId="7">#REF!</definedName>
    <definedName name="tp6_12" localSheetId="3">#REF!</definedName>
    <definedName name="tp6_12" localSheetId="11">#REF!</definedName>
    <definedName name="tp6_12">#REF!</definedName>
    <definedName name="tp6_16" localSheetId="12">#REF!</definedName>
    <definedName name="tp6_16" localSheetId="3">#REF!</definedName>
    <definedName name="tp6_16" localSheetId="11">#REF!</definedName>
    <definedName name="tp6_16">#REF!</definedName>
    <definedName name="TPI" localSheetId="12">#REF!</definedName>
    <definedName name="TPI" localSheetId="3">#REF!</definedName>
    <definedName name="TPI" localSheetId="11">#REF!</definedName>
    <definedName name="TPI">#REF!</definedName>
    <definedName name="tpl1\2">#REF!</definedName>
    <definedName name="tpl1_2">#REF!</definedName>
    <definedName name="TPM" localSheetId="8">#REF!</definedName>
    <definedName name="TPM">#REF!</definedName>
    <definedName name="tpmfs" localSheetId="8">#REF!</definedName>
    <definedName name="tpmfs">#REF!</definedName>
    <definedName name="TPP" localSheetId="8">#REF!</definedName>
    <definedName name="TPP">#REF!</definedName>
    <definedName name="trb" localSheetId="8">#REF!</definedName>
    <definedName name="trb">#REF!</definedName>
    <definedName name="tre">#REF!</definedName>
    <definedName name="TRTD6I">#REF!</definedName>
    <definedName name="TRTD6P">#REF!</definedName>
    <definedName name="TRTD8I">#REF!</definedName>
    <definedName name="TRTD8P">#REF!</definedName>
    <definedName name="TRTPI">#REF!</definedName>
    <definedName name="TRTPP">#REF!</definedName>
    <definedName name="TT">NA()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 localSheetId="12">#REF!</definedName>
    <definedName name="ttc" localSheetId="8">#REF!</definedName>
    <definedName name="ttc" localSheetId="7">#REF!</definedName>
    <definedName name="ttc" localSheetId="3">#REF!</definedName>
    <definedName name="ttc" localSheetId="11">#REF!</definedName>
    <definedName name="ttc">#REF!</definedName>
    <definedName name="tte" localSheetId="12">#REF!</definedName>
    <definedName name="tte" localSheetId="8">#REF!</definedName>
    <definedName name="tte" localSheetId="3">#REF!</definedName>
    <definedName name="tte" localSheetId="11">#REF!</definedName>
    <definedName name="tte">#REF!</definedName>
    <definedName name="TTT" localSheetId="8">[1]SERVIÇO!#REF!</definedName>
    <definedName name="TTT">[1]SERVIÇO!#REF!</definedName>
    <definedName name="Tuboscon">#REF!</definedName>
    <definedName name="tus" localSheetId="12">#REF!</definedName>
    <definedName name="tus" localSheetId="8">#REF!</definedName>
    <definedName name="tus" localSheetId="3">#REF!</definedName>
    <definedName name="tus" localSheetId="11">#REF!</definedName>
    <definedName name="tus">#REF!</definedName>
    <definedName name="tuso">#REF!</definedName>
    <definedName name="TXTEQUIP" localSheetId="8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USS">#REF!</definedName>
    <definedName name="V">#REF!</definedName>
    <definedName name="v60120_">#REF!</definedName>
    <definedName name="value_def_array" localSheetId="8">{"total","SUM(total)","YNNNN",FALSE}</definedName>
    <definedName name="value_def_array">{"total","SUM(total)","YNNNN",FALSE}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[10]Teor!$B$3:$B$7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bn">#REF!</definedName>
    <definedName name="vcx">#REF!</definedName>
    <definedName name="VEDA_ROSCA" localSheetId="8">#REF!</definedName>
    <definedName name="VEDA_ROSCA">#REF!</definedName>
    <definedName name="verde" localSheetId="8">#REF!</definedName>
    <definedName name="verde">#REF!</definedName>
    <definedName name="verdepav" localSheetId="8">#REF!</definedName>
    <definedName name="verdepav">#REF!</definedName>
    <definedName name="VERNIZ_POLIURETANO">#REF!</definedName>
    <definedName name="VII" localSheetId="8">#REF!</definedName>
    <definedName name="VII">#REF!</definedName>
    <definedName name="VIP" localSheetId="8">#REF!</definedName>
    <definedName name="VIP">#REF!</definedName>
    <definedName name="VLR" localSheetId="8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 localSheetId="8">#REF!</definedName>
    <definedName name="vsb">#REF!</definedName>
    <definedName name="VTE">#REF!</definedName>
    <definedName name="vzx">#REF!</definedName>
    <definedName name="w">NA()</definedName>
    <definedName name="WEWRWR" localSheetId="8">#N/A</definedName>
    <definedName name="WEWRWR">WEWRWR</definedName>
    <definedName name="WITENS" localSheetId="8">[1]SERVIÇO!#REF!</definedName>
    <definedName name="WITENS">[1]SERVIÇO!#REF!</definedName>
    <definedName name="WNMLOCAL" localSheetId="8">[1]SERVIÇO!#REF!</definedName>
    <definedName name="WNMLOCAL">[1]SERVIÇO!#REF!</definedName>
    <definedName name="WNMMUN">[1]SERVIÇO!#REF!</definedName>
    <definedName name="WNMSERV">[1]SERVIÇO!#REF!</definedName>
    <definedName name="X">#REF!</definedName>
    <definedName name="XALFA">[1]SERVIÇO!#REF!</definedName>
    <definedName name="XC">#REF!</definedName>
    <definedName name="XCVZ">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XXX" localSheetId="8">#N/A</definedName>
    <definedName name="XXX">#REF!</definedName>
    <definedName name="XXXX">#REF!</definedName>
    <definedName name="xxxxx" localSheetId="12">#REF!</definedName>
    <definedName name="xxxxx" localSheetId="8">#REF!</definedName>
    <definedName name="xxxxx" localSheetId="7">#REF!</definedName>
    <definedName name="xxxxx" localSheetId="3">#REF!</definedName>
    <definedName name="xxxxx" localSheetId="11">#REF!</definedName>
    <definedName name="xxxxx">#REF!</definedName>
    <definedName name="xxxxxxxxxxxxxx" localSheetId="12">#REF!</definedName>
    <definedName name="xxxxxxxxxxxxxx" localSheetId="3">#REF!</definedName>
    <definedName name="xxxxxxxxxxxxxx" localSheetId="11">#REF!</definedName>
    <definedName name="xxxxxxxxxxxxxx">#REF!</definedName>
    <definedName name="zar" localSheetId="12">#REF!</definedName>
    <definedName name="zar" localSheetId="3">#REF!</definedName>
    <definedName name="zar" localSheetId="11">#REF!</definedName>
    <definedName name="zar">#REF!</definedName>
    <definedName name="ZARCAO" localSheetId="8">#REF!</definedName>
    <definedName name="ZARCAO">#REF!</definedName>
    <definedName name="ZECA" localSheetId="8">[1]SERVIÇO!#REF!</definedName>
    <definedName name="ZECA">[1]SERVIÇO!#REF!</definedName>
    <definedName name="z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F31" i="13"/>
  <c r="E29" i="16"/>
  <c r="E28" i="16"/>
  <c r="F34" i="13"/>
  <c r="F34" i="20" s="1"/>
  <c r="D30" i="24"/>
  <c r="D22" i="24"/>
  <c r="F18" i="22"/>
  <c r="G18" i="22"/>
  <c r="G17" i="22"/>
  <c r="G16" i="22"/>
  <c r="H16" i="22" s="1"/>
  <c r="D17" i="22"/>
  <c r="D16" i="22"/>
  <c r="E18" i="22"/>
  <c r="E17" i="22"/>
  <c r="E16" i="22"/>
  <c r="C18" i="22"/>
  <c r="C17" i="22"/>
  <c r="C16" i="22"/>
  <c r="E22" i="16"/>
  <c r="F16" i="20"/>
  <c r="G35" i="20"/>
  <c r="G34" i="20"/>
  <c r="G33" i="20"/>
  <c r="G32" i="20"/>
  <c r="G31" i="20"/>
  <c r="G30" i="20"/>
  <c r="G29" i="20"/>
  <c r="G28" i="20"/>
  <c r="G27" i="20"/>
  <c r="G26" i="20"/>
  <c r="G21" i="20"/>
  <c r="G20" i="20"/>
  <c r="G19" i="20"/>
  <c r="G18" i="20"/>
  <c r="G17" i="20"/>
  <c r="E11" i="24"/>
  <c r="F18" i="24"/>
  <c r="G18" i="24" s="1"/>
  <c r="E18" i="24"/>
  <c r="C18" i="24"/>
  <c r="B18" i="24"/>
  <c r="F17" i="24"/>
  <c r="E17" i="24"/>
  <c r="C17" i="24"/>
  <c r="B17" i="24"/>
  <c r="F16" i="24"/>
  <c r="G16" i="24" s="1"/>
  <c r="E16" i="24"/>
  <c r="C16" i="24"/>
  <c r="B16" i="24"/>
  <c r="F11" i="24"/>
  <c r="C11" i="24"/>
  <c r="B11" i="24"/>
  <c r="F10" i="24"/>
  <c r="E10" i="24"/>
  <c r="C10" i="24"/>
  <c r="B10" i="24"/>
  <c r="E8" i="24"/>
  <c r="C8" i="24"/>
  <c r="B8" i="24"/>
  <c r="F7" i="24"/>
  <c r="G7" i="24" s="1"/>
  <c r="E7" i="24"/>
  <c r="C7" i="24"/>
  <c r="B7" i="24"/>
  <c r="I27" i="17"/>
  <c r="D26" i="17" s="1"/>
  <c r="D29" i="17" s="1"/>
  <c r="D21" i="17"/>
  <c r="D16" i="17"/>
  <c r="D36" i="17" s="1"/>
  <c r="D15" i="17"/>
  <c r="D14" i="17"/>
  <c r="D13" i="17"/>
  <c r="D45" i="18"/>
  <c r="D44" i="18"/>
  <c r="C44" i="18"/>
  <c r="D40" i="18"/>
  <c r="C40" i="18"/>
  <c r="D33" i="18"/>
  <c r="C33" i="18"/>
  <c r="D21" i="18"/>
  <c r="C21" i="18"/>
  <c r="C45" i="18" s="1"/>
  <c r="H25" i="6"/>
  <c r="H17" i="22"/>
  <c r="F17" i="22"/>
  <c r="F16" i="22"/>
  <c r="G10" i="22"/>
  <c r="H10" i="22" s="1"/>
  <c r="D10" i="22"/>
  <c r="C10" i="22"/>
  <c r="G9" i="22"/>
  <c r="H9" i="22" s="1"/>
  <c r="D9" i="22"/>
  <c r="C9" i="22"/>
  <c r="G8" i="22"/>
  <c r="H8" i="22" s="1"/>
  <c r="D8" i="22"/>
  <c r="C8" i="22"/>
  <c r="G7" i="22"/>
  <c r="H7" i="22" s="1"/>
  <c r="D7" i="22"/>
  <c r="C7" i="22"/>
  <c r="G6" i="22"/>
  <c r="H6" i="22" s="1"/>
  <c r="D6" i="22"/>
  <c r="C6" i="22"/>
  <c r="G26" i="14"/>
  <c r="H26" i="14" s="1"/>
  <c r="E26" i="14"/>
  <c r="D26" i="14"/>
  <c r="C26" i="14"/>
  <c r="G25" i="14"/>
  <c r="H25" i="14" s="1"/>
  <c r="E25" i="14"/>
  <c r="D25" i="14"/>
  <c r="C25" i="14"/>
  <c r="G24" i="14"/>
  <c r="H24" i="14" s="1"/>
  <c r="E24" i="14"/>
  <c r="D24" i="14"/>
  <c r="C24" i="14"/>
  <c r="G23" i="14"/>
  <c r="H23" i="14" s="1"/>
  <c r="E23" i="14"/>
  <c r="D23" i="14"/>
  <c r="C23" i="14"/>
  <c r="G22" i="14"/>
  <c r="H22" i="14" s="1"/>
  <c r="E22" i="14"/>
  <c r="D22" i="14"/>
  <c r="C22" i="14"/>
  <c r="G21" i="14"/>
  <c r="H21" i="14" s="1"/>
  <c r="E21" i="14"/>
  <c r="D21" i="14"/>
  <c r="C21" i="14"/>
  <c r="G20" i="14"/>
  <c r="H20" i="14" s="1"/>
  <c r="E20" i="14"/>
  <c r="D20" i="14"/>
  <c r="C20" i="14"/>
  <c r="G19" i="14"/>
  <c r="H19" i="14" s="1"/>
  <c r="E19" i="14"/>
  <c r="D19" i="14"/>
  <c r="C19" i="14"/>
  <c r="G18" i="14"/>
  <c r="H18" i="14" s="1"/>
  <c r="E18" i="14"/>
  <c r="D18" i="14"/>
  <c r="C18" i="14"/>
  <c r="G17" i="14"/>
  <c r="H17" i="14" s="1"/>
  <c r="E17" i="14"/>
  <c r="D17" i="14"/>
  <c r="C17" i="14"/>
  <c r="G13" i="14"/>
  <c r="F13" i="14"/>
  <c r="E13" i="14"/>
  <c r="D13" i="14"/>
  <c r="C13" i="14"/>
  <c r="G12" i="14"/>
  <c r="F12" i="14"/>
  <c r="E12" i="14"/>
  <c r="D12" i="14"/>
  <c r="C12" i="14"/>
  <c r="G300" i="10"/>
  <c r="I300" i="10" s="1"/>
  <c r="C300" i="10"/>
  <c r="B300" i="10"/>
  <c r="G299" i="10"/>
  <c r="I299" i="10" s="1"/>
  <c r="C299" i="10"/>
  <c r="B299" i="10"/>
  <c r="F295" i="10"/>
  <c r="I295" i="10" s="1"/>
  <c r="B295" i="10"/>
  <c r="A295" i="10"/>
  <c r="F294" i="10"/>
  <c r="I294" i="10" s="1"/>
  <c r="B294" i="10"/>
  <c r="A294" i="10"/>
  <c r="F291" i="10"/>
  <c r="I291" i="10" s="1"/>
  <c r="B291" i="10"/>
  <c r="A291" i="10"/>
  <c r="F290" i="10"/>
  <c r="I290" i="10" s="1"/>
  <c r="B290" i="10"/>
  <c r="A290" i="10"/>
  <c r="F283" i="10"/>
  <c r="I283" i="10" s="1"/>
  <c r="B283" i="10"/>
  <c r="A283" i="10"/>
  <c r="F282" i="10"/>
  <c r="I282" i="10" s="1"/>
  <c r="B282" i="10"/>
  <c r="A282" i="10"/>
  <c r="G279" i="10"/>
  <c r="F279" i="10"/>
  <c r="B279" i="10"/>
  <c r="A279" i="10"/>
  <c r="F263" i="10"/>
  <c r="I263" i="10" s="1"/>
  <c r="I264" i="10" s="1"/>
  <c r="B263" i="10"/>
  <c r="A263" i="10"/>
  <c r="F254" i="10"/>
  <c r="I254" i="10" s="1"/>
  <c r="B254" i="10"/>
  <c r="A254" i="10"/>
  <c r="F253" i="10"/>
  <c r="I253" i="10" s="1"/>
  <c r="B253" i="10"/>
  <c r="A253" i="10"/>
  <c r="G250" i="10"/>
  <c r="F250" i="10"/>
  <c r="B250" i="10"/>
  <c r="A250" i="10"/>
  <c r="F226" i="10"/>
  <c r="I226" i="10" s="1"/>
  <c r="I227" i="10" s="1"/>
  <c r="B226" i="10"/>
  <c r="A226" i="10"/>
  <c r="G223" i="10"/>
  <c r="F223" i="10"/>
  <c r="B223" i="10"/>
  <c r="A223" i="10"/>
  <c r="G222" i="10"/>
  <c r="F222" i="10"/>
  <c r="B222" i="10"/>
  <c r="A222" i="10"/>
  <c r="G221" i="10"/>
  <c r="F221" i="10"/>
  <c r="B221" i="10"/>
  <c r="A221" i="10"/>
  <c r="G220" i="10"/>
  <c r="F220" i="10"/>
  <c r="B220" i="10"/>
  <c r="A220" i="10"/>
  <c r="G219" i="10"/>
  <c r="F219" i="10"/>
  <c r="B219" i="10"/>
  <c r="A219" i="10"/>
  <c r="G218" i="10"/>
  <c r="F218" i="10"/>
  <c r="B218" i="10"/>
  <c r="A218" i="10"/>
  <c r="G192" i="10"/>
  <c r="F192" i="10"/>
  <c r="B192" i="10"/>
  <c r="A192" i="10"/>
  <c r="G166" i="10"/>
  <c r="F166" i="10"/>
  <c r="B166" i="10"/>
  <c r="A166" i="10"/>
  <c r="G140" i="10"/>
  <c r="F140" i="10"/>
  <c r="B140" i="10"/>
  <c r="A140" i="10"/>
  <c r="F116" i="10"/>
  <c r="I116" i="10" s="1"/>
  <c r="I117" i="10" s="1"/>
  <c r="B116" i="10"/>
  <c r="A116" i="10"/>
  <c r="G113" i="10"/>
  <c r="F113" i="10"/>
  <c r="B113" i="10"/>
  <c r="A113" i="10"/>
  <c r="F89" i="10"/>
  <c r="I89" i="10" s="1"/>
  <c r="I90" i="10" s="1"/>
  <c r="B89" i="10"/>
  <c r="A89" i="10"/>
  <c r="G86" i="10"/>
  <c r="F86" i="10"/>
  <c r="B86" i="10"/>
  <c r="A86" i="10"/>
  <c r="G72" i="10"/>
  <c r="I72" i="10" s="1"/>
  <c r="I73" i="10" s="1"/>
  <c r="B72" i="10"/>
  <c r="A72" i="10"/>
  <c r="F68" i="10"/>
  <c r="I68" i="10" s="1"/>
  <c r="I69" i="10" s="1"/>
  <c r="B68" i="10"/>
  <c r="A68" i="10"/>
  <c r="F59" i="10"/>
  <c r="I59" i="10" s="1"/>
  <c r="I60" i="10" s="1"/>
  <c r="B59" i="10"/>
  <c r="A59" i="10"/>
  <c r="G56" i="10"/>
  <c r="F56" i="10"/>
  <c r="B56" i="10"/>
  <c r="A56" i="10"/>
  <c r="G55" i="10"/>
  <c r="F55" i="10"/>
  <c r="B55" i="10"/>
  <c r="A55" i="10"/>
  <c r="G54" i="10"/>
  <c r="F54" i="10"/>
  <c r="B54" i="10"/>
  <c r="A54" i="10"/>
  <c r="G53" i="10"/>
  <c r="F53" i="10"/>
  <c r="B53" i="10"/>
  <c r="A53" i="10"/>
  <c r="G52" i="10"/>
  <c r="F52" i="10"/>
  <c r="B52" i="10"/>
  <c r="A52" i="10"/>
  <c r="G51" i="10"/>
  <c r="F51" i="10"/>
  <c r="B51" i="10"/>
  <c r="A51" i="10"/>
  <c r="B41" i="10"/>
  <c r="B40" i="10"/>
  <c r="B39" i="10"/>
  <c r="B38" i="10"/>
  <c r="G34" i="10"/>
  <c r="I34" i="10" s="1"/>
  <c r="A34" i="10"/>
  <c r="A41" i="10" s="1"/>
  <c r="G33" i="10"/>
  <c r="I33" i="10" s="1"/>
  <c r="A33" i="10"/>
  <c r="A40" i="10" s="1"/>
  <c r="G32" i="10"/>
  <c r="I32" i="10" s="1"/>
  <c r="A32" i="10"/>
  <c r="A39" i="10" s="1"/>
  <c r="G31" i="10"/>
  <c r="I31" i="10" s="1"/>
  <c r="A31" i="10"/>
  <c r="A38" i="10" s="1"/>
  <c r="F25" i="10"/>
  <c r="I25" i="10" s="1"/>
  <c r="B25" i="10"/>
  <c r="A25" i="10"/>
  <c r="F24" i="10"/>
  <c r="I24" i="10" s="1"/>
  <c r="B24" i="10"/>
  <c r="A24" i="10"/>
  <c r="F23" i="10"/>
  <c r="I23" i="10" s="1"/>
  <c r="B23" i="10"/>
  <c r="A23" i="10"/>
  <c r="F22" i="10"/>
  <c r="I22" i="10" s="1"/>
  <c r="B22" i="10"/>
  <c r="A22" i="10"/>
  <c r="F15" i="10"/>
  <c r="I15" i="10" s="1"/>
  <c r="I16" i="10" s="1"/>
  <c r="I17" i="10" s="1"/>
  <c r="I18" i="10" s="1"/>
  <c r="B15" i="10"/>
  <c r="A15" i="10"/>
  <c r="G17" i="24"/>
  <c r="G12" i="24"/>
  <c r="G11" i="24"/>
  <c r="G10" i="24"/>
  <c r="F8" i="24"/>
  <c r="G8" i="24" s="1"/>
  <c r="R39" i="19"/>
  <c r="B38" i="19"/>
  <c r="R37" i="19"/>
  <c r="B36" i="19"/>
  <c r="R35" i="19"/>
  <c r="D34" i="19"/>
  <c r="B34" i="19"/>
  <c r="R33" i="19"/>
  <c r="B32" i="19"/>
  <c r="R31" i="19"/>
  <c r="D30" i="19"/>
  <c r="B30" i="19"/>
  <c r="R29" i="19"/>
  <c r="D28" i="19"/>
  <c r="B28" i="19"/>
  <c r="R27" i="19"/>
  <c r="D26" i="19"/>
  <c r="B26" i="19"/>
  <c r="R25" i="19"/>
  <c r="D24" i="19"/>
  <c r="B24" i="19"/>
  <c r="R23" i="19"/>
  <c r="D22" i="19"/>
  <c r="B22" i="19"/>
  <c r="R21" i="19"/>
  <c r="D20" i="19"/>
  <c r="B20" i="19"/>
  <c r="R17" i="19"/>
  <c r="D16" i="19"/>
  <c r="B16" i="19"/>
  <c r="R15" i="19"/>
  <c r="D14" i="19"/>
  <c r="B14" i="19"/>
  <c r="R13" i="19"/>
  <c r="D12" i="19"/>
  <c r="B12" i="19"/>
  <c r="R11" i="19"/>
  <c r="D10" i="19"/>
  <c r="B10" i="19"/>
  <c r="P9" i="19"/>
  <c r="O9" i="19"/>
  <c r="N9" i="19"/>
  <c r="M9" i="19"/>
  <c r="L9" i="19"/>
  <c r="K9" i="19"/>
  <c r="J9" i="19"/>
  <c r="I9" i="19"/>
  <c r="R9" i="19" s="1"/>
  <c r="H9" i="19"/>
  <c r="G9" i="19"/>
  <c r="C8" i="19"/>
  <c r="B8" i="19"/>
  <c r="C6" i="19"/>
  <c r="B6" i="19"/>
  <c r="B5" i="19"/>
  <c r="B29" i="16"/>
  <c r="B28" i="16"/>
  <c r="E27" i="16"/>
  <c r="D27" i="16"/>
  <c r="B27" i="16"/>
  <c r="E26" i="16"/>
  <c r="F32" i="20" s="1"/>
  <c r="H32" i="20" s="1"/>
  <c r="D26" i="16"/>
  <c r="E32" i="13" s="1"/>
  <c r="D25" i="16"/>
  <c r="B25" i="16"/>
  <c r="D24" i="16"/>
  <c r="B24" i="16"/>
  <c r="E23" i="16"/>
  <c r="E24" i="16" s="1"/>
  <c r="D23" i="16"/>
  <c r="B23" i="16"/>
  <c r="D22" i="16"/>
  <c r="B22" i="16"/>
  <c r="E21" i="16"/>
  <c r="D21" i="16"/>
  <c r="B21" i="16"/>
  <c r="E20" i="16"/>
  <c r="D20" i="16"/>
  <c r="B20" i="16"/>
  <c r="D18" i="16"/>
  <c r="B18" i="16"/>
  <c r="D17" i="16"/>
  <c r="B17" i="16"/>
  <c r="D16" i="16"/>
  <c r="B16" i="16"/>
  <c r="D15" i="16"/>
  <c r="B15" i="16"/>
  <c r="E14" i="16"/>
  <c r="D14" i="16"/>
  <c r="C14" i="16"/>
  <c r="B14" i="16"/>
  <c r="D13" i="16"/>
  <c r="C13" i="16"/>
  <c r="B13" i="16"/>
  <c r="F35" i="13"/>
  <c r="F35" i="20" s="1"/>
  <c r="E35" i="13"/>
  <c r="E35" i="20" s="1"/>
  <c r="D35" i="13"/>
  <c r="D35" i="20" s="1"/>
  <c r="D38" i="19" s="1"/>
  <c r="C35" i="13"/>
  <c r="C35" i="20" s="1"/>
  <c r="C38" i="19" s="1"/>
  <c r="E34" i="13"/>
  <c r="E34" i="20" s="1"/>
  <c r="D34" i="13"/>
  <c r="D34" i="20" s="1"/>
  <c r="D36" i="19" s="1"/>
  <c r="C34" i="13"/>
  <c r="C34" i="20" s="1"/>
  <c r="C36" i="19" s="1"/>
  <c r="E33" i="13"/>
  <c r="C33" i="13"/>
  <c r="F32" i="13"/>
  <c r="D32" i="13"/>
  <c r="C32" i="13"/>
  <c r="E31" i="13"/>
  <c r="C31" i="13"/>
  <c r="E30" i="13"/>
  <c r="C30" i="13"/>
  <c r="F29" i="13"/>
  <c r="E29" i="13"/>
  <c r="C29" i="13"/>
  <c r="F28" i="13"/>
  <c r="F28" i="20" s="1"/>
  <c r="E28" i="13"/>
  <c r="C28" i="13"/>
  <c r="F27" i="13"/>
  <c r="F27" i="20" s="1"/>
  <c r="E27" i="13"/>
  <c r="C27" i="13"/>
  <c r="F26" i="13"/>
  <c r="F26" i="20" s="1"/>
  <c r="H26" i="20" s="1"/>
  <c r="E26" i="13"/>
  <c r="C26" i="13"/>
  <c r="F21" i="13"/>
  <c r="F21" i="20" s="1"/>
  <c r="E21" i="13"/>
  <c r="C21" i="13"/>
  <c r="F20" i="13"/>
  <c r="E20" i="13"/>
  <c r="C20" i="13"/>
  <c r="F19" i="13"/>
  <c r="F19" i="20" s="1"/>
  <c r="E19" i="13"/>
  <c r="C19" i="13"/>
  <c r="F18" i="13"/>
  <c r="F18" i="20" s="1"/>
  <c r="E18" i="13"/>
  <c r="C18" i="13"/>
  <c r="F17" i="13"/>
  <c r="E17" i="13"/>
  <c r="D17" i="13"/>
  <c r="C17" i="13"/>
  <c r="E16" i="13"/>
  <c r="D16" i="13"/>
  <c r="C16" i="13"/>
  <c r="J11" i="13"/>
  <c r="F33" i="20"/>
  <c r="E33" i="20"/>
  <c r="C33" i="20"/>
  <c r="C34" i="19" s="1"/>
  <c r="D32" i="20"/>
  <c r="C32" i="20"/>
  <c r="E31" i="20"/>
  <c r="C31" i="20"/>
  <c r="C30" i="19" s="1"/>
  <c r="E30" i="20"/>
  <c r="C30" i="20"/>
  <c r="C28" i="19" s="1"/>
  <c r="E29" i="20"/>
  <c r="C29" i="20"/>
  <c r="C26" i="19" s="1"/>
  <c r="E28" i="20"/>
  <c r="C28" i="20"/>
  <c r="C24" i="19" s="1"/>
  <c r="E27" i="20"/>
  <c r="C27" i="20"/>
  <c r="C22" i="19" s="1"/>
  <c r="E26" i="20"/>
  <c r="C26" i="20"/>
  <c r="C20" i="19" s="1"/>
  <c r="E21" i="20"/>
  <c r="C21" i="20"/>
  <c r="C16" i="19" s="1"/>
  <c r="E20" i="20"/>
  <c r="C20" i="20"/>
  <c r="C14" i="19" s="1"/>
  <c r="E19" i="20"/>
  <c r="C19" i="20"/>
  <c r="C12" i="19" s="1"/>
  <c r="E18" i="20"/>
  <c r="C18" i="20"/>
  <c r="C10" i="19" s="1"/>
  <c r="E17" i="20"/>
  <c r="D17" i="20"/>
  <c r="D8" i="19" s="1"/>
  <c r="C17" i="20"/>
  <c r="E16" i="20"/>
  <c r="D16" i="20"/>
  <c r="D6" i="19" s="1"/>
  <c r="C16" i="20"/>
  <c r="E32" i="20" l="1"/>
  <c r="F29" i="20"/>
  <c r="H29" i="20" s="1"/>
  <c r="I140" i="10"/>
  <c r="I141" i="10" s="1"/>
  <c r="I144" i="10" s="1"/>
  <c r="I145" i="10" s="1"/>
  <c r="I146" i="10" s="1"/>
  <c r="I152" i="10" s="1"/>
  <c r="I158" i="10" s="1"/>
  <c r="I218" i="10"/>
  <c r="I219" i="10"/>
  <c r="H35" i="20"/>
  <c r="H33" i="20"/>
  <c r="H19" i="20"/>
  <c r="H28" i="20"/>
  <c r="F12" i="23" s="1"/>
  <c r="H18" i="20"/>
  <c r="H21" i="20"/>
  <c r="H34" i="20"/>
  <c r="H27" i="20"/>
  <c r="I54" i="10"/>
  <c r="I55" i="10"/>
  <c r="I56" i="10"/>
  <c r="I255" i="10"/>
  <c r="H13" i="14"/>
  <c r="G6" i="24"/>
  <c r="I250" i="10"/>
  <c r="I251" i="10" s="1"/>
  <c r="I220" i="10"/>
  <c r="I279" i="10"/>
  <c r="I280" i="10" s="1"/>
  <c r="I292" i="10"/>
  <c r="I301" i="10"/>
  <c r="I52" i="10"/>
  <c r="I26" i="10"/>
  <c r="I29" i="10" s="1"/>
  <c r="I35" i="10"/>
  <c r="G9" i="24"/>
  <c r="I86" i="10"/>
  <c r="I87" i="10" s="1"/>
  <c r="I91" i="10" s="1"/>
  <c r="I92" i="10" s="1"/>
  <c r="I93" i="10" s="1"/>
  <c r="I99" i="10" s="1"/>
  <c r="I105" i="10" s="1"/>
  <c r="I166" i="10"/>
  <c r="I167" i="10" s="1"/>
  <c r="I170" i="10" s="1"/>
  <c r="I171" i="10" s="1"/>
  <c r="I172" i="10" s="1"/>
  <c r="I178" i="10" s="1"/>
  <c r="I184" i="10" s="1"/>
  <c r="I192" i="10"/>
  <c r="I193" i="10" s="1"/>
  <c r="I196" i="10" s="1"/>
  <c r="I197" i="10" s="1"/>
  <c r="I198" i="10" s="1"/>
  <c r="I204" i="10" s="1"/>
  <c r="I210" i="10" s="1"/>
  <c r="I223" i="10"/>
  <c r="H11" i="22"/>
  <c r="I51" i="10"/>
  <c r="I296" i="10"/>
  <c r="H12" i="14"/>
  <c r="H18" i="22"/>
  <c r="H19" i="22" s="1"/>
  <c r="F20" i="24" s="1"/>
  <c r="G20" i="24" s="1"/>
  <c r="G19" i="24" s="1"/>
  <c r="I53" i="10"/>
  <c r="I113" i="10"/>
  <c r="I114" i="10" s="1"/>
  <c r="I118" i="10" s="1"/>
  <c r="I119" i="10" s="1"/>
  <c r="I120" i="10" s="1"/>
  <c r="I126" i="10" s="1"/>
  <c r="I132" i="10" s="1"/>
  <c r="I221" i="10"/>
  <c r="I222" i="10"/>
  <c r="H27" i="14"/>
  <c r="K17" i="20" s="1"/>
  <c r="L17" i="20" s="1"/>
  <c r="F31" i="20"/>
  <c r="H31" i="20" s="1"/>
  <c r="F17" i="20"/>
  <c r="H17" i="20" s="1"/>
  <c r="F20" i="20"/>
  <c r="H20" i="20" s="1"/>
  <c r="I284" i="10"/>
  <c r="I7" i="23"/>
  <c r="F30" i="13"/>
  <c r="F28" i="6"/>
  <c r="A28" i="6"/>
  <c r="D17" i="17"/>
  <c r="H14" i="14" l="1"/>
  <c r="I256" i="10"/>
  <c r="I257" i="10" s="1"/>
  <c r="I265" i="10" s="1"/>
  <c r="I271" i="10" s="1"/>
  <c r="K34" i="20" s="1"/>
  <c r="L34" i="20" s="1"/>
  <c r="E36" i="19" s="1"/>
  <c r="I285" i="10"/>
  <c r="I286" i="10" s="1"/>
  <c r="I297" i="10" s="1"/>
  <c r="I307" i="10" s="1"/>
  <c r="K35" i="20" s="1"/>
  <c r="L35" i="20" s="1"/>
  <c r="G5" i="24"/>
  <c r="F15" i="24" s="1"/>
  <c r="G15" i="24" s="1"/>
  <c r="G14" i="24" s="1"/>
  <c r="G17" i="13"/>
  <c r="H17" i="13" s="1"/>
  <c r="I43" i="10"/>
  <c r="I224" i="10"/>
  <c r="I228" i="10" s="1"/>
  <c r="I229" i="10" s="1"/>
  <c r="I230" i="10" s="1"/>
  <c r="I236" i="10" s="1"/>
  <c r="I242" i="10" s="1"/>
  <c r="G33" i="13"/>
  <c r="I57" i="10"/>
  <c r="I61" i="10" s="1"/>
  <c r="I62" i="10" s="1"/>
  <c r="I63" i="10" s="1"/>
  <c r="I70" i="10" s="1"/>
  <c r="I78" i="10" s="1"/>
  <c r="K20" i="20"/>
  <c r="L20" i="20" s="1"/>
  <c r="G18" i="13"/>
  <c r="G20" i="13"/>
  <c r="F30" i="20"/>
  <c r="H30" i="20" s="1"/>
  <c r="G26" i="13"/>
  <c r="K30" i="20"/>
  <c r="G30" i="13"/>
  <c r="I30" i="13" s="1"/>
  <c r="J30" i="13" s="1"/>
  <c r="E15" i="16"/>
  <c r="E16" i="16"/>
  <c r="E17" i="16"/>
  <c r="E18" i="16"/>
  <c r="J17" i="20"/>
  <c r="G21" i="13"/>
  <c r="G19" i="13"/>
  <c r="K31" i="20"/>
  <c r="L31" i="20" s="1"/>
  <c r="G31" i="13"/>
  <c r="J34" i="20" l="1"/>
  <c r="J35" i="20"/>
  <c r="G16" i="13"/>
  <c r="I16" i="13" s="1"/>
  <c r="J16" i="13" s="1"/>
  <c r="G27" i="13"/>
  <c r="H27" i="13" s="1"/>
  <c r="G34" i="13"/>
  <c r="I34" i="13" s="1"/>
  <c r="J34" i="13" s="1"/>
  <c r="G35" i="13"/>
  <c r="I35" i="13" s="1"/>
  <c r="J35" i="13" s="1"/>
  <c r="G21" i="24"/>
  <c r="G22" i="24" s="1"/>
  <c r="G23" i="24" s="1"/>
  <c r="F24" i="24" s="1"/>
  <c r="F28" i="24" s="1"/>
  <c r="G28" i="24" s="1"/>
  <c r="I17" i="13"/>
  <c r="J17" i="13" s="1"/>
  <c r="G29" i="13"/>
  <c r="H29" i="13" s="1"/>
  <c r="J28" i="20"/>
  <c r="G28" i="13"/>
  <c r="H28" i="13" s="1"/>
  <c r="H33" i="13"/>
  <c r="I33" i="13"/>
  <c r="J33" i="13" s="1"/>
  <c r="K33" i="20"/>
  <c r="L33" i="20" s="1"/>
  <c r="E34" i="19" s="1"/>
  <c r="I34" i="19" s="1"/>
  <c r="J33" i="20"/>
  <c r="E30" i="19"/>
  <c r="E8" i="19"/>
  <c r="E14" i="19"/>
  <c r="J30" i="20"/>
  <c r="L30" i="20"/>
  <c r="K16" i="20"/>
  <c r="L16" i="20" s="1"/>
  <c r="J16" i="20"/>
  <c r="K18" i="20"/>
  <c r="L18" i="20" s="1"/>
  <c r="J18" i="20"/>
  <c r="K19" i="20"/>
  <c r="L19" i="20" s="1"/>
  <c r="J19" i="20"/>
  <c r="H26" i="13"/>
  <c r="I26" i="13"/>
  <c r="J26" i="13" s="1"/>
  <c r="H30" i="13"/>
  <c r="J29" i="20"/>
  <c r="K29" i="20"/>
  <c r="L29" i="20" s="1"/>
  <c r="I18" i="13"/>
  <c r="J18" i="13" s="1"/>
  <c r="H18" i="13"/>
  <c r="K27" i="20"/>
  <c r="L27" i="20" s="1"/>
  <c r="J27" i="20"/>
  <c r="H31" i="13"/>
  <c r="I31" i="13"/>
  <c r="J31" i="13" s="1"/>
  <c r="K21" i="20"/>
  <c r="L21" i="20" s="1"/>
  <c r="J21" i="20"/>
  <c r="H21" i="13"/>
  <c r="I21" i="13"/>
  <c r="J21" i="13" s="1"/>
  <c r="E38" i="19"/>
  <c r="I19" i="13"/>
  <c r="J19" i="13" s="1"/>
  <c r="H19" i="13"/>
  <c r="P36" i="19"/>
  <c r="L36" i="19"/>
  <c r="H36" i="19"/>
  <c r="N36" i="19"/>
  <c r="I36" i="19"/>
  <c r="M36" i="19"/>
  <c r="G36" i="19"/>
  <c r="O36" i="19"/>
  <c r="J36" i="19"/>
  <c r="Q36" i="19"/>
  <c r="K36" i="19"/>
  <c r="F36" i="19"/>
  <c r="K26" i="20"/>
  <c r="L26" i="20" s="1"/>
  <c r="J26" i="20"/>
  <c r="J31" i="20"/>
  <c r="J20" i="20"/>
  <c r="I20" i="13"/>
  <c r="J20" i="13" s="1"/>
  <c r="H20" i="13"/>
  <c r="I27" i="13" l="1"/>
  <c r="J27" i="13" s="1"/>
  <c r="H16" i="13"/>
  <c r="P34" i="19"/>
  <c r="I28" i="13"/>
  <c r="J28" i="13" s="1"/>
  <c r="G24" i="24"/>
  <c r="F25" i="24" s="1"/>
  <c r="K28" i="20"/>
  <c r="L28" i="20" s="1"/>
  <c r="E24" i="19" s="1"/>
  <c r="L34" i="19"/>
  <c r="O34" i="19"/>
  <c r="J34" i="19"/>
  <c r="K34" i="19"/>
  <c r="Q34" i="19"/>
  <c r="G34" i="19"/>
  <c r="H34" i="19"/>
  <c r="F34" i="19"/>
  <c r="N34" i="19"/>
  <c r="M34" i="19"/>
  <c r="I29" i="13"/>
  <c r="J29" i="13" s="1"/>
  <c r="H22" i="13"/>
  <c r="E10" i="19"/>
  <c r="N30" i="19"/>
  <c r="J30" i="19"/>
  <c r="F30" i="19"/>
  <c r="Q30" i="19"/>
  <c r="L30" i="19"/>
  <c r="G30" i="19"/>
  <c r="P30" i="19"/>
  <c r="K30" i="19"/>
  <c r="M30" i="19"/>
  <c r="H30" i="19"/>
  <c r="I30" i="19"/>
  <c r="O30" i="19"/>
  <c r="E26" i="19"/>
  <c r="O26" i="19" s="1"/>
  <c r="J22" i="20"/>
  <c r="E28" i="19"/>
  <c r="J36" i="20"/>
  <c r="Q38" i="19"/>
  <c r="M38" i="19"/>
  <c r="I38" i="19"/>
  <c r="O38" i="19"/>
  <c r="J38" i="19"/>
  <c r="N38" i="19"/>
  <c r="H38" i="19"/>
  <c r="P38" i="19"/>
  <c r="K38" i="19"/>
  <c r="F38" i="19"/>
  <c r="G38" i="19"/>
  <c r="L38" i="19"/>
  <c r="H36" i="13"/>
  <c r="Q8" i="19"/>
  <c r="M8" i="19"/>
  <c r="I8" i="19"/>
  <c r="P8" i="19"/>
  <c r="L8" i="19"/>
  <c r="H8" i="19"/>
  <c r="J8" i="19"/>
  <c r="O8" i="19"/>
  <c r="G8" i="19"/>
  <c r="N8" i="19"/>
  <c r="F8" i="19"/>
  <c r="K8" i="19"/>
  <c r="E20" i="19"/>
  <c r="J22" i="13"/>
  <c r="R36" i="19"/>
  <c r="S36" i="19" s="1"/>
  <c r="E16" i="19"/>
  <c r="E22" i="19"/>
  <c r="E12" i="19"/>
  <c r="E6" i="19"/>
  <c r="L22" i="20"/>
  <c r="N14" i="19"/>
  <c r="J14" i="19"/>
  <c r="F14" i="19"/>
  <c r="Q14" i="19"/>
  <c r="M14" i="19"/>
  <c r="I14" i="19"/>
  <c r="P14" i="19"/>
  <c r="H14" i="19"/>
  <c r="O14" i="19"/>
  <c r="G14" i="19"/>
  <c r="L14" i="19"/>
  <c r="K14" i="19"/>
  <c r="R34" i="19" l="1"/>
  <c r="S34" i="19" s="1"/>
  <c r="J38" i="20"/>
  <c r="H38" i="13"/>
  <c r="H39" i="13" s="1"/>
  <c r="H40" i="13" s="1"/>
  <c r="R14" i="19"/>
  <c r="S14" i="19" s="1"/>
  <c r="K26" i="19"/>
  <c r="G26" i="19"/>
  <c r="M26" i="19"/>
  <c r="H26" i="19"/>
  <c r="Q26" i="19"/>
  <c r="L26" i="19"/>
  <c r="F26" i="19"/>
  <c r="N26" i="19"/>
  <c r="I26" i="19"/>
  <c r="P26" i="19"/>
  <c r="J26" i="19"/>
  <c r="P10" i="19"/>
  <c r="L10" i="19"/>
  <c r="H10" i="19"/>
  <c r="O10" i="19"/>
  <c r="K10" i="19"/>
  <c r="G10" i="19"/>
  <c r="N10" i="19"/>
  <c r="F10" i="19"/>
  <c r="J10" i="19"/>
  <c r="M10" i="19"/>
  <c r="Q10" i="19"/>
  <c r="I10" i="19"/>
  <c r="P6" i="19"/>
  <c r="L6" i="19"/>
  <c r="H6" i="19"/>
  <c r="Q6" i="19"/>
  <c r="K6" i="19"/>
  <c r="N6" i="19"/>
  <c r="O6" i="19"/>
  <c r="J6" i="19"/>
  <c r="I6" i="19"/>
  <c r="M6" i="19"/>
  <c r="G6" i="19"/>
  <c r="P22" i="19"/>
  <c r="L22" i="19"/>
  <c r="H22" i="19"/>
  <c r="O22" i="19"/>
  <c r="K22" i="19"/>
  <c r="G22" i="19"/>
  <c r="Q22" i="19"/>
  <c r="I22" i="19"/>
  <c r="N22" i="19"/>
  <c r="F22" i="19"/>
  <c r="M22" i="19"/>
  <c r="J22" i="19"/>
  <c r="R8" i="19"/>
  <c r="S8" i="19" s="1"/>
  <c r="R38" i="19"/>
  <c r="S38" i="19" s="1"/>
  <c r="Q12" i="19"/>
  <c r="M12" i="19"/>
  <c r="I12" i="19"/>
  <c r="P12" i="19"/>
  <c r="L12" i="19"/>
  <c r="H12" i="19"/>
  <c r="O12" i="19"/>
  <c r="G12" i="19"/>
  <c r="K12" i="19"/>
  <c r="N12" i="19"/>
  <c r="F12" i="19"/>
  <c r="J12" i="19"/>
  <c r="N28" i="19"/>
  <c r="J28" i="19"/>
  <c r="F28" i="19"/>
  <c r="Q28" i="19"/>
  <c r="L28" i="19"/>
  <c r="G28" i="19"/>
  <c r="P28" i="19"/>
  <c r="K28" i="19"/>
  <c r="M28" i="19"/>
  <c r="H28" i="19"/>
  <c r="O28" i="19"/>
  <c r="I28" i="19"/>
  <c r="R30" i="19"/>
  <c r="S30" i="19" s="1"/>
  <c r="O20" i="19"/>
  <c r="K20" i="19"/>
  <c r="G20" i="19"/>
  <c r="N20" i="19"/>
  <c r="J20" i="19"/>
  <c r="F20" i="19"/>
  <c r="M20" i="19"/>
  <c r="Q20" i="19"/>
  <c r="L20" i="19"/>
  <c r="I20" i="19"/>
  <c r="H20" i="19"/>
  <c r="P20" i="19"/>
  <c r="O16" i="19"/>
  <c r="K16" i="19"/>
  <c r="G16" i="19"/>
  <c r="N16" i="19"/>
  <c r="J16" i="19"/>
  <c r="F16" i="19"/>
  <c r="L16" i="19"/>
  <c r="P16" i="19"/>
  <c r="Q16" i="19"/>
  <c r="I16" i="19"/>
  <c r="H16" i="19"/>
  <c r="M16" i="19"/>
  <c r="F27" i="24"/>
  <c r="G27" i="24" s="1"/>
  <c r="G25" i="24"/>
  <c r="Q24" i="19"/>
  <c r="M24" i="19"/>
  <c r="I24" i="19"/>
  <c r="P24" i="19"/>
  <c r="L24" i="19"/>
  <c r="H24" i="19"/>
  <c r="J24" i="19"/>
  <c r="F24" i="19"/>
  <c r="O24" i="19"/>
  <c r="G24" i="19"/>
  <c r="N24" i="19"/>
  <c r="K24" i="19"/>
  <c r="R22" i="19" l="1"/>
  <c r="S22" i="19" s="1"/>
  <c r="R10" i="19"/>
  <c r="S10" i="19" s="1"/>
  <c r="R28" i="19"/>
  <c r="S28" i="19" s="1"/>
  <c r="R12" i="19"/>
  <c r="S12" i="19" s="1"/>
  <c r="R26" i="19"/>
  <c r="S26" i="19" s="1"/>
  <c r="R16" i="19"/>
  <c r="S16" i="19" s="1"/>
  <c r="R24" i="19"/>
  <c r="S24" i="19" s="1"/>
  <c r="R20" i="19"/>
  <c r="G29" i="24"/>
  <c r="S20" i="19" l="1"/>
  <c r="G30" i="24"/>
  <c r="G31" i="24" s="1"/>
  <c r="G32" i="24" s="1"/>
  <c r="G34" i="24" s="1"/>
  <c r="I32" i="13" l="1"/>
  <c r="G32" i="13" s="1"/>
  <c r="J32" i="13"/>
  <c r="L32" i="20" l="1"/>
  <c r="E32" i="19" s="1"/>
  <c r="J32" i="20"/>
  <c r="J36" i="13"/>
  <c r="J38" i="13" l="1"/>
  <c r="P32" i="19"/>
  <c r="P41" i="19" s="1"/>
  <c r="P43" i="19" s="1"/>
  <c r="L32" i="19"/>
  <c r="L41" i="19" s="1"/>
  <c r="L43" i="19" s="1"/>
  <c r="H32" i="19"/>
  <c r="H41" i="19" s="1"/>
  <c r="H43" i="19" s="1"/>
  <c r="N32" i="19"/>
  <c r="N41" i="19" s="1"/>
  <c r="N43" i="19" s="1"/>
  <c r="I32" i="19"/>
  <c r="I41" i="19" s="1"/>
  <c r="I43" i="19" s="1"/>
  <c r="M32" i="19"/>
  <c r="M41" i="19" s="1"/>
  <c r="M43" i="19" s="1"/>
  <c r="G32" i="19"/>
  <c r="G41" i="19" s="1"/>
  <c r="G43" i="19" s="1"/>
  <c r="O32" i="19"/>
  <c r="O41" i="19" s="1"/>
  <c r="O43" i="19" s="1"/>
  <c r="J32" i="19"/>
  <c r="J41" i="19" s="1"/>
  <c r="J43" i="19" s="1"/>
  <c r="F32" i="19"/>
  <c r="Q32" i="19"/>
  <c r="Q41" i="19" s="1"/>
  <c r="Q43" i="19" s="1"/>
  <c r="K32" i="19"/>
  <c r="K41" i="19" s="1"/>
  <c r="K43" i="19" s="1"/>
  <c r="E41" i="19"/>
  <c r="H12" i="23" l="1"/>
  <c r="G12" i="23" s="1"/>
  <c r="J39" i="13"/>
  <c r="J40" i="13" s="1"/>
  <c r="K17" i="13"/>
  <c r="K34" i="13"/>
  <c r="K33" i="13"/>
  <c r="K30" i="13"/>
  <c r="K35" i="13"/>
  <c r="K21" i="13"/>
  <c r="K27" i="13"/>
  <c r="K18" i="13"/>
  <c r="K20" i="13"/>
  <c r="K16" i="13"/>
  <c r="K29" i="13"/>
  <c r="K28" i="13"/>
  <c r="K26" i="13"/>
  <c r="K31" i="13"/>
  <c r="K19" i="13"/>
  <c r="K22" i="13"/>
  <c r="K32" i="13"/>
  <c r="E42" i="19"/>
  <c r="E43" i="19"/>
  <c r="I44" i="19" s="1"/>
  <c r="N34" i="20"/>
  <c r="N33" i="20"/>
  <c r="N31" i="20"/>
  <c r="N35" i="20"/>
  <c r="N20" i="20"/>
  <c r="N17" i="20"/>
  <c r="N18" i="20"/>
  <c r="N30" i="20"/>
  <c r="N19" i="20"/>
  <c r="N16" i="20"/>
  <c r="N28" i="20"/>
  <c r="N27" i="20"/>
  <c r="N29" i="20"/>
  <c r="N21" i="20"/>
  <c r="N26" i="20"/>
  <c r="N32" i="20"/>
  <c r="R32" i="19"/>
  <c r="K36" i="13"/>
  <c r="P44" i="19" l="1"/>
  <c r="N44" i="19"/>
  <c r="H44" i="19"/>
  <c r="O44" i="19"/>
  <c r="K44" i="19"/>
  <c r="M44" i="19"/>
  <c r="L44" i="19"/>
  <c r="Q44" i="19"/>
  <c r="J44" i="19"/>
  <c r="G44" i="19"/>
  <c r="S16" i="20"/>
  <c r="R40" i="19"/>
  <c r="S32" i="19"/>
  <c r="S17" i="20"/>
  <c r="K38" i="13"/>
  <c r="S18" i="20" l="1"/>
  <c r="F6" i="19"/>
  <c r="R6" i="19" s="1"/>
  <c r="R18" i="19" s="1"/>
  <c r="R41" i="19" s="1"/>
  <c r="S41" i="19" s="1"/>
  <c r="R7" i="19"/>
  <c r="F41" i="19" l="1"/>
  <c r="F43" i="19" s="1"/>
  <c r="F44" i="19" s="1"/>
  <c r="S6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7" authorId="0" shapeId="0" xr:uid="{00000000-0006-0000-0100-000001000000}">
      <text>
        <r>
          <rPr>
            <sz val="11"/>
            <color rgb="FF000000"/>
            <rFont val="Calibri"/>
            <charset val="1"/>
          </rPr>
          <t xml:space="preserve">Memória de cálculos:
</t>
        </r>
        <r>
          <rPr>
            <sz val="10"/>
            <color rgb="FF000000"/>
            <rFont val="Tahoma"/>
            <charset val="1"/>
          </rPr>
          <t xml:space="preserve">1 placa * (1,50 m de altura * 3,00 m de compr.)
</t>
        </r>
        <r>
          <rPr>
            <b/>
            <sz val="10"/>
            <color rgb="FF000000"/>
            <rFont val="Tahoma"/>
            <charset val="1"/>
          </rPr>
          <t>= 4,50 m²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17" authorId="0" shapeId="0" xr:uid="{00000000-0006-0000-0200-000001000000}">
      <text>
        <r>
          <rPr>
            <sz val="11"/>
            <color rgb="FF000000"/>
            <rFont val="Calibri"/>
            <charset val="1"/>
          </rPr>
          <t xml:space="preserve">Memória de cálculos:
</t>
        </r>
        <r>
          <rPr>
            <sz val="10"/>
            <color rgb="FF000000"/>
            <rFont val="Tahoma"/>
            <charset val="1"/>
          </rPr>
          <t xml:space="preserve">1 placa * (1,50 m de altura * 3,00 m de compr.)
</t>
        </r>
        <r>
          <rPr>
            <b/>
            <sz val="10"/>
            <color rgb="FF000000"/>
            <rFont val="Tahoma"/>
            <charset val="1"/>
          </rPr>
          <t>= 4,50 m²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4" authorId="0" shapeId="0" xr:uid="{00000000-0006-0000-0300-000001000000}">
      <text>
        <r>
          <rPr>
            <sz val="11"/>
            <color rgb="FF000000"/>
            <rFont val="Calibri"/>
            <charset val="1"/>
          </rPr>
          <t xml:space="preserve">Memória de cálculos:
</t>
        </r>
        <r>
          <rPr>
            <sz val="10"/>
            <color rgb="FF000000"/>
            <rFont val="Tahoma"/>
            <charset val="1"/>
          </rPr>
          <t xml:space="preserve">1 placa * (1,50 m de altura * 3,00 m de compr.)
</t>
        </r>
        <r>
          <rPr>
            <b/>
            <sz val="10"/>
            <color rgb="FF000000"/>
            <rFont val="Tahoma"/>
            <charset val="1"/>
          </rPr>
          <t>= 4,50 m²</t>
        </r>
      </text>
    </comment>
  </commentList>
</comments>
</file>

<file path=xl/sharedStrings.xml><?xml version="1.0" encoding="utf-8"?>
<sst xmlns="http://schemas.openxmlformats.org/spreadsheetml/2006/main" count="1573" uniqueCount="536">
  <si>
    <t>MINISTÉRIO DA INTEGRAÇÃO E DO DESENVOLVIMENTO REGIONAL</t>
  </si>
  <si>
    <t>COMPANHIA DE DESENVOLVIMENTO DOS VALES DO SÃO FRANCISCO E PARNAÍBA</t>
  </si>
  <si>
    <t>2ª SUPERINTENDÊNCIA REGIONAL - Bom Jesus da Lapa/BA</t>
  </si>
  <si>
    <t>BDI (%):</t>
  </si>
  <si>
    <t>PLANILHA RESUMO</t>
  </si>
  <si>
    <t>Item</t>
  </si>
  <si>
    <t>Descrição</t>
  </si>
  <si>
    <t>Unidade</t>
  </si>
  <si>
    <t>Quantidade</t>
  </si>
  <si>
    <t>Preço Unitário</t>
  </si>
  <si>
    <t>Preço Total</t>
  </si>
  <si>
    <t>m²</t>
  </si>
  <si>
    <t>O valor do preço unitário tem o número de algarismos significativos máximo suportado pelo sistema ComprasNet do Governo Federal</t>
  </si>
  <si>
    <t>Ministério da Integração e do Desenvolvimento Regional - MIDR</t>
  </si>
  <si>
    <t>Companhia de Desenvolvimento dos Vales do São Francisco e Parnaíba - CODEVASF</t>
  </si>
  <si>
    <t>2ª Superintendência Regional - Gerência Regional de Infraestrutura (2ª/GRD)</t>
  </si>
  <si>
    <t>Objeto:</t>
  </si>
  <si>
    <t>B.D.I. =</t>
  </si>
  <si>
    <t>ITEM</t>
  </si>
  <si>
    <t xml:space="preserve">DISCRIMINAÇÃO DOS SERVIÇOS </t>
  </si>
  <si>
    <t>UNIDADE</t>
  </si>
  <si>
    <t>QUANTIDADE POR MÓDULO</t>
  </si>
  <si>
    <t>QUANTIDADE DE MÓDULOS</t>
  </si>
  <si>
    <t>QUANTIDADE TOTAL</t>
  </si>
  <si>
    <t>CUSTO UNITÁRIO (SEM BDI)</t>
  </si>
  <si>
    <t>CUSTO TOTAL (SEM BDI)</t>
  </si>
  <si>
    <t>PREÇO UNITÁRIO (COM BDI)</t>
  </si>
  <si>
    <t>PREÇO TOTAL (COM BDI)</t>
  </si>
  <si>
    <t>% do Total</t>
  </si>
  <si>
    <t>SERVIÇOS PRELIMINARES E ADMINISTRAÇÃO LOCAL</t>
  </si>
  <si>
    <t>1.1</t>
  </si>
  <si>
    <t>INCC</t>
  </si>
  <si>
    <t>T</t>
  </si>
  <si>
    <t>1.2</t>
  </si>
  <si>
    <t>1.3</t>
  </si>
  <si>
    <t>TRANSPORTE DE EQUIPAMENTOS EM RODOVIA COM REVESTIMENTO PRIMÁRIO - MOBILIZAÇÃO (70%)</t>
  </si>
  <si>
    <t>1.4</t>
  </si>
  <si>
    <t>TRANSPORTE DE EQUIPAMENTOS EM RODOVIA PAVIMENTADA - MOBILIZAÇÃO (30%)</t>
  </si>
  <si>
    <t>1.5</t>
  </si>
  <si>
    <t>TRANSPORTE DE EQUIPAMENTOS EM RODOVIA COM REVESTIMENTO PRIMÁRIO - DESMOBILIZAÇÃO (70%)</t>
  </si>
  <si>
    <t>1.6</t>
  </si>
  <si>
    <t>TRANSPORTE DE EQUIPAMENTOS EM RODOVIA PAVIMENTADA - DESMOBILIZAÇÃO (30%)</t>
  </si>
  <si>
    <t>TOTAL DO ITEM 1</t>
  </si>
  <si>
    <t>SERVIÇOS TÉCNICOS PARA RECUPERAÇÃO, ADEQUAÇÃO E REVESTIMENTO PRIMÁRIO</t>
  </si>
  <si>
    <t>2.1</t>
  </si>
  <si>
    <t>ESCAVAÇÃO MECÂNICA COM RETROESCAVADEIRA EM MATERIAL DE 1ª CATEGORIA PARA CONSTRUÇÃO DE DISPOSITIVO DE CONTROLE DE ENXURRADA (BACIA DE CAPTAÇÃO DE ÁGUAS PLUVIAIS)</t>
  </si>
  <si>
    <t>2.2</t>
  </si>
  <si>
    <t>CERCA COM 4 FIOS DE ARAME FARPADO E MOURÃO DE MADEIRA A CADA 2,5 M E ESTICADOR A CADA 50 M</t>
  </si>
  <si>
    <t>2.3</t>
  </si>
  <si>
    <t>REGULARIZAÇÃO DE SUBLEITO</t>
  </si>
  <si>
    <t>2.4</t>
  </si>
  <si>
    <t>EXECUÇÃO DE REVESTIMENTO PRIMÁRIO COM MATERIAL DE JAZIDA</t>
  </si>
  <si>
    <t>2.5</t>
  </si>
  <si>
    <t>ESCAVAÇÃO E CARGA DE MATERIAL DE JAZIDA COM ESCAVADEIRA HIDRÁULICA DE 1,56 M³</t>
  </si>
  <si>
    <t>2.6</t>
  </si>
  <si>
    <t>TRANSPORTE COM CAMINHÃO BASCULANTE COM CAÇAMBA ESTANQUE COM CAPACIDADE DE 14 M³ - RODOVIA EM LEITO NATURAL</t>
  </si>
  <si>
    <t>2.7</t>
  </si>
  <si>
    <t>2.8</t>
  </si>
  <si>
    <t>ENSAIOS GEOTÉCNICOS - CONTROLE TECNOLÓGICO DE OBRA</t>
  </si>
  <si>
    <t>2.9</t>
  </si>
  <si>
    <t>2.10</t>
  </si>
  <si>
    <t>TOTAL DO ITEM 2</t>
  </si>
  <si>
    <t>Total Geral</t>
  </si>
  <si>
    <t>Adequação e revestimento primário de estradas vicinais com estruturas de conservação</t>
  </si>
  <si>
    <t>QUANTIDADE</t>
  </si>
  <si>
    <t>ENSAIOS GEOTÉCNICOS</t>
  </si>
  <si>
    <t>Preço por km (estrada com 6,00 m de largura):</t>
  </si>
  <si>
    <t>Valor por m²:</t>
  </si>
  <si>
    <t>MEMÓRIA DE CÁLCULOS POR MÓDULO DE 30.000 M²</t>
  </si>
  <si>
    <t>Serão utilizados por módulo mínimo de 30.000 m²: 160 horas de encarregado + 48 horas de engenheiro de obras júnior.</t>
  </si>
  <si>
    <t>Placa de obra: 1,60 m de altura * 3,20 m  de largura = 5,12 m² por placa.</t>
  </si>
  <si>
    <t>Cálculo: 9.799 t/km * 70% = 6.859,30 ton/km/módulo.</t>
  </si>
  <si>
    <t>Cálculo: 9.799 t/km * 30% =  2.939,70 ton/km/módulo.</t>
  </si>
  <si>
    <t>Bacias de captação de águas pluviais: 142,20 m³ por bacia * 05 bacias por km de estradas * 5,00 km de estradas por módulo = 3.555,00 m³ de escavação com retroescavadeira e produndidade até 1,50 m.</t>
  </si>
  <si>
    <t>Cercas: 20 m de cercas por bacia * 05 bacias por km de estrada * 5,00 km de estradas por módulo mínimo = 500 metros de cercas por módulo</t>
  </si>
  <si>
    <t>Revestimento primário: 1.000 m * 5 de comprimento * 6,00 m de largura * 0,15 m de espessura = 4.500 m³ por módulo.</t>
  </si>
  <si>
    <t>Escavação e carga de material de jazida: 1.000 m * 5 de comprimento * 6,00 m de largura * 0,15 m de espessura = 4.500 m³ por módulo.</t>
  </si>
  <si>
    <t>CPU-03</t>
  </si>
  <si>
    <t>PROJETO EXECUTIVO</t>
  </si>
  <si>
    <t>Projeto Executivo: 1.000 m * 5 de comprimento * 6,00 m de largura = 30.000 m² por módulo.</t>
  </si>
  <si>
    <t>Ensaios geotécnicos: serão realizados em jazidas, em média 02 por módulo.</t>
  </si>
  <si>
    <t>PLACA DE REGULAMENTAÇÃO EM AÇO D = 0,60 M - PELÍCULA RETROREFLETIVA TIPO I + SI - FORNECIMENTO E IMPLANTAÇÃO</t>
  </si>
  <si>
    <t>und</t>
  </si>
  <si>
    <t>SUPORTE METÁLICO GALVANIZADO PARA PLACA DE ADVERTÊNCIA OU REGULAMENTAÇÃO - LADO OU DIÂMETRO DE 0,60 M - FORNECIMENTO E IMPLANTAÇÃO</t>
  </si>
  <si>
    <t>VALOR TOTAL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</si>
  <si>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</si>
  <si>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</si>
  <si>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</si>
  <si>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</si>
  <si>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</si>
  <si>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</si>
  <si>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</si>
  <si>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</si>
  <si>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</si>
  <si>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</si>
  <si>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</si>
  <si>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</si>
  <si>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</si>
  <si>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%</t>
  </si>
  <si>
    <t>SUBTOTAL</t>
  </si>
  <si>
    <t>TOTAL - ADMINISTRAÇÃO LOCAL</t>
  </si>
  <si>
    <t>TOTAL SEM ADMINISTRAÇÃO:</t>
  </si>
  <si>
    <t>% PARA ADMINISTRAÇÃO</t>
  </si>
  <si>
    <t>CPU-03: COMPOSIÇAO PREÇO PROJETO EXECUTIVO (POR M²)</t>
  </si>
  <si>
    <t>DISCRIMINAÇAO</t>
  </si>
  <si>
    <t>h</t>
  </si>
  <si>
    <t>Redução de 40% no tempo de trabalho pela exclusão dos seguintes projetos: pavimentação, drenagem e sinalização</t>
  </si>
  <si>
    <t>B - ENCARGOS SOCIAIS</t>
  </si>
  <si>
    <t>JÁ INCLUSAS EM "A"</t>
  </si>
  <si>
    <t>C - DESPESAS GERAIS</t>
  </si>
  <si>
    <t>Estimativa % como referência de equipe técnica com encargos sociais</t>
  </si>
  <si>
    <t>H</t>
  </si>
  <si>
    <t>L</t>
  </si>
  <si>
    <t>D - ENSAIOS</t>
  </si>
  <si>
    <t>(Composições Ensaios) CPU-05</t>
  </si>
  <si>
    <t>Ensaios a cada 500m (máximo), segundo IS-206-DNIT</t>
  </si>
  <si>
    <t>I - SOMA (A+B+C+D)</t>
  </si>
  <si>
    <t>II - CUSTOS ADMINISTRATIVOS</t>
  </si>
  <si>
    <t>II - SOMA</t>
  </si>
  <si>
    <t>VI - RELATÓRIOS</t>
  </si>
  <si>
    <t>Estimativa % como referência soma II</t>
  </si>
  <si>
    <t>V - DESPESAS DIRETAS (3,74%)</t>
  </si>
  <si>
    <t>Percentual VI</t>
  </si>
  <si>
    <t>VI - REMUNERAÇAO DA EMPRESA</t>
  </si>
  <si>
    <t>Taxas 4,75%</t>
  </si>
  <si>
    <t>VII - CONTIGÊNCIAS</t>
  </si>
  <si>
    <t>VIII - SOMA</t>
  </si>
  <si>
    <t>IX - CUSTOS ADMINISTRATIVOS</t>
  </si>
  <si>
    <t>III - SOMA</t>
  </si>
  <si>
    <t>X - TOTAL</t>
  </si>
  <si>
    <t>Por m²:</t>
  </si>
  <si>
    <t xml:space="preserve"> MINISTÉRIO DA INTEGRAÇÃO E DO DESENVOLVIMENTO REGIONAL</t>
  </si>
  <si>
    <t xml:space="preserve"> COMPANHIA DE DESENVOLVIMENTO DOS VALES DO SÃO FRANCISCO E DO PARNAÍBA</t>
  </si>
  <si>
    <t>2ª SUPERINTENDÊNCIA REGIONAL - GERÊNCIA DE INFRAESTRUTURA</t>
  </si>
  <si>
    <t>CGCIT</t>
  </si>
  <si>
    <t>DNIT</t>
  </si>
  <si>
    <t>SISTEMA DE CUSTOS REFERENCIAIS DE OBRAS - SICRO</t>
  </si>
  <si>
    <t>Bahia</t>
  </si>
  <si>
    <t>Custo Unitário de Referência</t>
  </si>
  <si>
    <t xml:space="preserve">Produção da equipe </t>
  </si>
  <si>
    <t>m</t>
  </si>
  <si>
    <t>SICRO 3713608</t>
  </si>
  <si>
    <t>Cerca com 4 fios de arame farpado e mourão de madeira a cada 2,50 m e esticador a cada 50 m</t>
  </si>
  <si>
    <t>Valores em reais (R$)</t>
  </si>
  <si>
    <t>A - EQUIPAMENTOS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</si>
  <si>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</si>
  <si>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</si>
  <si>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</si>
  <si>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</si>
  <si>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</si>
  <si>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</si>
  <si>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</si>
  <si>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</si>
  <si>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</si>
  <si>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</si>
  <si>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Custo Horário Total</t>
  </si>
  <si>
    <t>Custo horário total de mão de obra</t>
  </si>
  <si>
    <t>Custo horário total de execução</t>
  </si>
  <si>
    <t>Custo unitário de execução</t>
  </si>
  <si>
    <t>Custo do FIC</t>
  </si>
  <si>
    <t>-</t>
  </si>
  <si>
    <t>Custo do FIT</t>
  </si>
  <si>
    <t>C - MATERIAL</t>
  </si>
  <si>
    <t>Custo Unitário</t>
  </si>
  <si>
    <t>kg</t>
  </si>
  <si>
    <t>un</t>
  </si>
  <si>
    <t>Custo unitário total de material</t>
  </si>
  <si>
    <t>D - ATIVIDADES AUXILIARES</t>
  </si>
  <si>
    <t>Custo total de atividades auxiliares</t>
  </si>
  <si>
    <t>Subtotal</t>
  </si>
  <si>
    <t>E - TEMPO FIXO</t>
  </si>
  <si>
    <t>Código</t>
  </si>
  <si>
    <t>Arame farpado em aço galvanizado - D = 1,60 mm - Caminhão carroceria 15 t</t>
  </si>
  <si>
    <t>5914655</t>
  </si>
  <si>
    <t>t</t>
  </si>
  <si>
    <t>Grampo em aço galvanizado para cerca - C = 25,4 mm e E = 3,76 mm (1" x 9 BWG) - Caminhão carroceria 15 t</t>
  </si>
  <si>
    <t>Mourão de madeira - H = 2,10 m e D = 0,10 m - Caminhão carroceria 15 t</t>
  </si>
  <si>
    <t>Mourão de madeira - H = 2,20 m e D = 0,15 m - Caminhão carroceria 15 t</t>
  </si>
  <si>
    <t>Custo unitário total de tempo fixo</t>
  </si>
  <si>
    <t>F - MOMENTO DE TRANSPORTE</t>
  </si>
  <si>
    <t>DMT</t>
  </si>
  <si>
    <t>LN</t>
  </si>
  <si>
    <t>RP</t>
  </si>
  <si>
    <t>P</t>
  </si>
  <si>
    <t>tkm</t>
  </si>
  <si>
    <t>5914449</t>
  </si>
  <si>
    <t>5914464</t>
  </si>
  <si>
    <t>5914479</t>
  </si>
  <si>
    <t>Custo unitário total de transporte</t>
  </si>
  <si>
    <t>Custo unitário direto total</t>
  </si>
  <si>
    <t>FIC</t>
  </si>
  <si>
    <t>m³</t>
  </si>
  <si>
    <t>SICRO 4015612</t>
  </si>
  <si>
    <t>Execução de revestimento primário com material de jazida</t>
  </si>
  <si>
    <t>5914354</t>
  </si>
  <si>
    <t>4016096</t>
  </si>
  <si>
    <t>Escavação e carga de material de jazida com escavadeira hidráulica de 1,56 m³ - Caminhão basculante 10 m³</t>
  </si>
  <si>
    <t>5914359</t>
  </si>
  <si>
    <t>5914374</t>
  </si>
  <si>
    <t>5914389</t>
  </si>
  <si>
    <t>SICRO 4016096</t>
  </si>
  <si>
    <t>Escavação e carga de material de jazida com escavadeira hidráulica de 1,56 m³</t>
  </si>
  <si>
    <t>SICRO 5501706</t>
  </si>
  <si>
    <t>Escavação mecânica com retroescavadeira em material de 1ª categoria</t>
  </si>
  <si>
    <t>SICRO 5901639</t>
  </si>
  <si>
    <t>Transporte com caminhão basculante com caçamba estanque com capacidade de 14 m³ - rodovia em leito natural</t>
  </si>
  <si>
    <t>SICRO 5914639</t>
  </si>
  <si>
    <t>Transporte com cavalo mecânico com semirreboque com capacidade de 30 t - rodovia em revestimento primário</t>
  </si>
  <si>
    <t>SICRO 5914640</t>
  </si>
  <si>
    <t>Transporte com cavalo mecânico com semirreboque com capacidade de 30 t - rodovia pavimentada</t>
  </si>
  <si>
    <t>SICRO 4011209</t>
  </si>
  <si>
    <t>Regularização do subleito</t>
  </si>
  <si>
    <t>SICRO 5213440</t>
  </si>
  <si>
    <t>Placa de regulamentação em aço D = 0,60 m - película retrorrefletiva tipo I + SI - fornecimento e implantação</t>
  </si>
  <si>
    <t>Obs.</t>
  </si>
  <si>
    <t>SICRO 5213863</t>
  </si>
  <si>
    <t>Suporte metálico galvanizado para placa de advertência ou regulamentação - lado ou diâmetro de 0,60 m - fornecimento e implantação</t>
  </si>
  <si>
    <t>M0789</t>
  </si>
  <si>
    <t>M0787</t>
  </si>
  <si>
    <t>Conjunto para fixação de placas em aço galvanizado composto por barra chata, abraçadeira, parafusos, porcas e arruelas - Caminhão carroceria 15 t</t>
  </si>
  <si>
    <t>Suporte em aço-carbono galvanizado tipo perfil C para placa de sinalização - Caminhão carroceria 15 t</t>
  </si>
  <si>
    <t xml:space="preserve">                 MINISTÉRIO DA INTEGRAÇÃO E DO DESENVOLVIMENTO REGIONAL</t>
  </si>
  <si>
    <t xml:space="preserve">                 COMPANHIA DE DESENVOLVIMENTO DOS VALES DO SÃO FRANCISCO E DO PARNAÍBA</t>
  </si>
  <si>
    <t xml:space="preserve">                 2ª GRD da 2ª SUPERINTENDÊNCIA REGIONAL- Bom Jesus da Lapa/Ba.</t>
  </si>
  <si>
    <t>BASE:</t>
  </si>
  <si>
    <t>NÃO DESONERADO</t>
  </si>
  <si>
    <t>CPU-01</t>
  </si>
  <si>
    <t>CODEVASF</t>
  </si>
  <si>
    <t>SEM</t>
  </si>
  <si>
    <t>ADMINISTRAÇÃO LOCAL</t>
  </si>
  <si>
    <t>QUANTITATIVO</t>
  </si>
  <si>
    <t>CUSTO UNITÁRIO</t>
  </si>
  <si>
    <t>CUSTO TOTAL (R$)</t>
  </si>
  <si>
    <t>COMPOSICAO</t>
  </si>
  <si>
    <t>SINAPI</t>
  </si>
  <si>
    <t>CUSTO TOTAL</t>
  </si>
  <si>
    <t>CPU-02</t>
  </si>
  <si>
    <t>PLACA DE OBRA EM CHAPA DE AÇO GALVANIZADO (1,60 M * 3,20 M)</t>
  </si>
  <si>
    <t>M²</t>
  </si>
  <si>
    <t>INSUMO</t>
  </si>
  <si>
    <t>COMPOSIÇÃO</t>
  </si>
  <si>
    <t>CPU - 04</t>
  </si>
  <si>
    <t>Ensaios</t>
  </si>
  <si>
    <t>Qde</t>
  </si>
  <si>
    <t>Custo Unitário (R$)</t>
  </si>
  <si>
    <t>Custo Total (R$)</t>
  </si>
  <si>
    <t>data-base ORSE:</t>
  </si>
  <si>
    <t>ago/23</t>
  </si>
  <si>
    <t>CUSTO TOTAL DOS ENSAIOS PARA CONTROLE TECNOLÓGICO - OBRA</t>
  </si>
  <si>
    <t>CPU - 05</t>
  </si>
  <si>
    <t>Laboratorista</t>
  </si>
  <si>
    <t>data-base SICRO:</t>
  </si>
  <si>
    <t>Auxiliar de Laboratório</t>
  </si>
  <si>
    <t>julho/2023</t>
  </si>
  <si>
    <t>Laboratório de Solos</t>
  </si>
  <si>
    <t>CUSTO TOTAL DOS ENSAIOS PARA PROJETO EXECUTIVO</t>
  </si>
  <si>
    <t>*Relatório de Custos Gerais do DNIT, página 1</t>
  </si>
  <si>
    <t>ESPECIFICAÇÃO DO ITEM DA COMPOSIÇÃO - SICRO BAHIA</t>
  </si>
  <si>
    <t>FONTE</t>
  </si>
  <si>
    <t>MÊS DE REFERÊNCIA</t>
  </si>
  <si>
    <t>CÓDIGO</t>
  </si>
  <si>
    <t>CUSTO UNITÁRIO PRODUTIVO</t>
  </si>
  <si>
    <t>CUSTO UNITÁRIO IMPRODUTIVO</t>
  </si>
  <si>
    <t>Arame farpado em aço galvanizado - D = 1,60 mm</t>
  </si>
  <si>
    <t>SICRO BAHIA</t>
  </si>
  <si>
    <t>JULHO/2023</t>
  </si>
  <si>
    <t>M0069</t>
  </si>
  <si>
    <t>M</t>
  </si>
  <si>
    <t>Caminhão basculante com caçamba estanque com capacidade de 14 m³ - 188 Kw</t>
  </si>
  <si>
    <t>E9575</t>
  </si>
  <si>
    <t>HORA</t>
  </si>
  <si>
    <t>Caminhão carroceria com capacidade de 5 t - 115 kW</t>
  </si>
  <si>
    <t>E9687</t>
  </si>
  <si>
    <t>Caminhão tanque com capacidade de 10.000 l - 188 kW</t>
  </si>
  <si>
    <t>E9571</t>
  </si>
  <si>
    <t>Cavalo mecânico com semirreboque com capacidade de 30 t - 265 kW</t>
  </si>
  <si>
    <t>E9666</t>
  </si>
  <si>
    <t>Concreto fck = 20 MPa - confecção em betoneira e lançamento manual - areia e brita comerciais</t>
  </si>
  <si>
    <t>M³</t>
  </si>
  <si>
    <t>KG</t>
  </si>
  <si>
    <t>Escavação manual em material de 1ª categoria na profundidade de até 1 m</t>
  </si>
  <si>
    <t>Escavadeira hidráulica sobre esteiras com caçamba com capacidade de 1,56 m³ - 118 Kw</t>
  </si>
  <si>
    <t>E9515</t>
  </si>
  <si>
    <t>Grade de 24 discos rebocável de D = 60 cm (24")</t>
  </si>
  <si>
    <t>E9518</t>
  </si>
  <si>
    <t>Grampo em aço galvanizado para cerca - C = 25,4 mm e E = 3,76 mm (1" x 9 BWG)</t>
  </si>
  <si>
    <t>M0745</t>
  </si>
  <si>
    <t>Montador</t>
  </si>
  <si>
    <t>P9830</t>
  </si>
  <si>
    <t>Motoniveladora - 93 kW</t>
  </si>
  <si>
    <t>E9524</t>
  </si>
  <si>
    <t>Mourão de madeira - H = 2,10 m e D = 0,10 m</t>
  </si>
  <si>
    <t>M1638</t>
  </si>
  <si>
    <t>Mourão de madeira - H = 2,20 m e D = 0,15 m</t>
  </si>
  <si>
    <t>M1639</t>
  </si>
  <si>
    <t>Placa em aço nº 16 galvanizado com película retrorrefletiva tipo I + SI - confecção</t>
  </si>
  <si>
    <t>Retroescavadeira de pneus com capacidade de 0,76 m³ - 58 Kw</t>
  </si>
  <si>
    <t>E9526</t>
  </si>
  <si>
    <t>Rolo compactador de pneus autopropelido de 27 t - 85 kW</t>
  </si>
  <si>
    <t>E9762</t>
  </si>
  <si>
    <t>Rolo compactador pé de carneiro vibratório autopropelido por pneus de 11,6 t - 82 kW</t>
  </si>
  <si>
    <t>E9685</t>
  </si>
  <si>
    <t>Servente</t>
  </si>
  <si>
    <t>P9824</t>
  </si>
  <si>
    <t>Trator agrícola sobre pneus - 77 kW</t>
  </si>
  <si>
    <t>E9577</t>
  </si>
  <si>
    <t>P9858</t>
  </si>
  <si>
    <t>MÊS</t>
  </si>
  <si>
    <t>P9833</t>
  </si>
  <si>
    <t>SICRO GERAL</t>
  </si>
  <si>
    <t>*B8957</t>
  </si>
  <si>
    <t>ESPECIFICAÇÃO DO ITEM DA COMPOSIÇÃO - SINAPI BAHIA</t>
  </si>
  <si>
    <t>VALOR UNITÁRIO PRODUTIVO</t>
  </si>
  <si>
    <t>VALOR UNITÁRIO IMPRODUTIVO</t>
  </si>
  <si>
    <t>AREIA MEDIA - POSTO JAZIDA/FORNECEDOR (RETIRADO NA JAZIDA, SEM TRANSPORTE)</t>
  </si>
  <si>
    <t>SINAPI BAHIA</t>
  </si>
  <si>
    <t>BETONEIRA CAPACIDADE NOMINAL 400 L, CAPACIDADE DE MISTURA 310 L, MOTOR A DIESEL POTÊNCIA 5,0 HP, SEM CARREGADOR - CHP DIURNO. AF_06/2014</t>
  </si>
  <si>
    <t>CARPINTEIRO DE FORMAS COM ENCARGOS COMPLEMENTARES</t>
  </si>
  <si>
    <t xml:space="preserve">CIMENTO PORTLAND COMPOSTO CP II-32 </t>
  </si>
  <si>
    <t>ENCARREGADO GERAL COM ENCARGOS COMPLEMENTARES</t>
  </si>
  <si>
    <t>ENGENHEIRO CIVIL DE OBRA JUNIOR COM ENCARGOS COMPLEMENTARES</t>
  </si>
  <si>
    <t>PEDRA BRITADA N. 2 (19 A 38 MM) POSTO PEDREIRA/FORNECEDOR, SEM FRETE</t>
  </si>
  <si>
    <t>PLACA DE OBRA (PARA CONSTRUCAO CIVIL) EM CHAPA GALVANIZADA *N. 22*, ADESIVADA, DE *2,4 X 1,2* M (SEM POSTES PARA FIXACAO)</t>
  </si>
  <si>
    <t>PONTALETE *7,5 X 7,5* CM EM PINUS, MISTA OU EQUIVALENTE DA REGIAO - BRUTA</t>
  </si>
  <si>
    <t>PREGO DE ACO POLIDO COM CABECA 18 X 30 (2 3/4 X 10)</t>
  </si>
  <si>
    <t>SARRAFO NAO APARELHADO *2,5 X 7* CM, EM MACARANDUBA, ANGELIM OU EQUIVALENTE DA REGIAO - BRUTA</t>
  </si>
  <si>
    <t>SERVENTE COM ENCARGOS COMPLEMENTARES</t>
  </si>
  <si>
    <t>CAMINHONETE CABINE SIMPLES COM MOTOR 1.6 FLEX, CÂMBIO MANUAL, POTÊNCIA 101/104 CV, 2 PORTAS - MATERIAIS NA OPERAÇÃO. AF_11/2015</t>
  </si>
  <si>
    <t>OLEO DIESEL COMBUSTIVEL COMUM METROPOLITANO S-10 OU S-500</t>
  </si>
  <si>
    <t>ESPECIFICAÇÃO DO ITEM DA COMPOSIÇÃO - ORSE</t>
  </si>
  <si>
    <t>Ensaios em solos - Limite de Liquidez</t>
  </si>
  <si>
    <t>ORSE</t>
  </si>
  <si>
    <t>4328/ORSE</t>
  </si>
  <si>
    <t>Ensaios em solos - Limite de Plasticidade</t>
  </si>
  <si>
    <t>4329/ORSE</t>
  </si>
  <si>
    <t>Granulometria por Peneiramento</t>
  </si>
  <si>
    <t>4327/ORSE</t>
  </si>
  <si>
    <t>4331/ORSE</t>
  </si>
  <si>
    <t>Ensaio em solos - Índice de Suporte Califórnia - CBR</t>
  </si>
  <si>
    <t>6720/ORSE</t>
  </si>
  <si>
    <t>MINISTÉRIO DO DESENVOLVIMENTO REGIONAL - MDR</t>
  </si>
  <si>
    <t>COMPANHIA DE DESENVOLVIMENTO DOS VALES DO SÃO FRANCISCO E DO PARNAÍBA</t>
  </si>
  <si>
    <t>2ª SUPERINTENDÊNCIA REGIONAL- Gerência Regional de Revitalização</t>
  </si>
  <si>
    <t>Cidade de Origem:</t>
  </si>
  <si>
    <t>Sede do município atendido</t>
  </si>
  <si>
    <t>Destino:</t>
  </si>
  <si>
    <t>Zona rural do município atendido</t>
  </si>
  <si>
    <t>Distância Total considerada:</t>
  </si>
  <si>
    <t xml:space="preserve"> km</t>
  </si>
  <si>
    <t>Peso das máquinas:</t>
  </si>
  <si>
    <t>Motoniveladora 93 KW</t>
  </si>
  <si>
    <t>ton</t>
  </si>
  <si>
    <t>Trator de pneus 77 kw com grade niveladora</t>
  </si>
  <si>
    <t>Escavadeira hidráulica 118 kw</t>
  </si>
  <si>
    <t>Rolo compactador autopropelido 27 ton</t>
  </si>
  <si>
    <t>Rolo compactador pé de carneiro</t>
  </si>
  <si>
    <t>Retroescavadeira de pneus 58 kw</t>
  </si>
  <si>
    <t>Peso dos materiais:</t>
  </si>
  <si>
    <t>Materiais</t>
  </si>
  <si>
    <t>Total</t>
  </si>
  <si>
    <t xml:space="preserve"> ton</t>
  </si>
  <si>
    <t xml:space="preserve"> t x km</t>
  </si>
  <si>
    <t>MINISTÉRIO DA INTEGRAÇÃO E DO DESENVOLVIMENTO REGIONAL - MIDR</t>
  </si>
  <si>
    <t>2ª SUPERINTENDÊNCIA REGIONAL - BOM JESUS DA LAPA/BA.</t>
  </si>
  <si>
    <t>DISCRIMINAÇÃO</t>
  </si>
  <si>
    <t>HORISTA</t>
  </si>
  <si>
    <t>MENSALISTA</t>
  </si>
  <si>
    <t>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</si>
  <si>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</si>
  <si>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</si>
  <si>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</si>
  <si>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</si>
  <si>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</si>
  <si>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</si>
  <si>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</si>
  <si>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</si>
  <si>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</si>
  <si>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</si>
  <si>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</si>
  <si>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</si>
  <si>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</si>
  <si>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</si>
  <si>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 de Trabalho</t>
  </si>
  <si>
    <t>A8</t>
  </si>
  <si>
    <t>FGTS</t>
  </si>
  <si>
    <t>A9</t>
  </si>
  <si>
    <t>SECONCI</t>
  </si>
  <si>
    <t>SUBTOTAL DE “A”:</t>
  </si>
  <si>
    <t>B</t>
  </si>
  <si>
    <t>ENCARGOS SOCIAIS QUE RECEBEM INCIDÊNCIA DE “A”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</si>
  <si>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</si>
  <si>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</si>
  <si>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</si>
  <si>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</si>
  <si>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</si>
  <si>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</si>
  <si>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</si>
  <si>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</si>
  <si>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</si>
  <si>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</si>
  <si>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</si>
  <si>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</si>
  <si>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</si>
  <si>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</si>
  <si>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</si>
  <si>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</si>
  <si>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</si>
  <si>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</si>
  <si>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</si>
  <si>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</si>
  <si>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</si>
  <si>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SUBTOTAL DE “B”:</t>
  </si>
  <si>
    <t>C</t>
  </si>
  <si>
    <t>ENCARGOS SOCIAIS QUE NÃO RECEBEM INCIDÊNCIA DE “A”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</si>
  <si>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</si>
  <si>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</si>
  <si>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</si>
  <si>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</si>
  <si>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</si>
  <si>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</si>
  <si>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</si>
  <si>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</si>
  <si>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</si>
  <si>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</si>
  <si>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“C”:</t>
  </si>
  <si>
    <t>D</t>
  </si>
  <si>
    <t>REINCIDÊNCIAS DE UM GRUPO SOBRE O OUTRO</t>
  </si>
  <si>
    <t>D1</t>
  </si>
  <si>
    <t>Reincidência de “A” sobre “B”</t>
  </si>
  <si>
    <t>D2</t>
  </si>
  <si>
    <t>Reincidência de Grupo A sobre Aviso Prévio Trabalhado e Reincidência do FGTS sobre Aviso Prévio Indenizado</t>
  </si>
  <si>
    <t>SUBTOTAL DE “D”:</t>
  </si>
  <si>
    <t>TOTAIS DE ENCARGOS SOCIAIS (%):</t>
  </si>
  <si>
    <t>OBJETO:</t>
  </si>
  <si>
    <t>MEMÓRIA DE CALCULO DO BDI  DOS SERVIÇOS - NÃO DESONERADO</t>
  </si>
  <si>
    <t>Obras rodoviárias</t>
  </si>
  <si>
    <t>BDI APLICADO NA OBRA (SEM RISCO, SEGURO E GARANTIA)</t>
  </si>
  <si>
    <t>FAIXAS DE ADMISSIBILIDADE DE ACORDO COM O ACORDÃO N. 2622/2013 DO TCU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</si>
  <si>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</si>
  <si>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</si>
  <si>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</si>
  <si>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</si>
  <si>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</si>
  <si>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</si>
  <si>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</si>
  <si>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Seguro e Garantia</t>
  </si>
  <si>
    <t>Riscos e Imprevistos</t>
  </si>
  <si>
    <t>Despesas Financeiras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</si>
  <si>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</si>
  <si>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</si>
  <si>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</si>
  <si>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</si>
  <si>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</si>
  <si>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</si>
  <si>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</si>
  <si>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</si>
  <si>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</si>
  <si>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</si>
  <si>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</si>
  <si>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</si>
  <si>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</si>
  <si>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</si>
  <si>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</si>
  <si>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</si>
  <si>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</si>
  <si>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</si>
  <si>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</si>
  <si>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</si>
  <si>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</si>
  <si>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</si>
  <si>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</si>
  <si>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</si>
  <si>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</si>
  <si>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OUTUBRO/2023</t>
  </si>
  <si>
    <t>DESENHISTA TÉCNICO AUXILIAR (HORISTA)</t>
  </si>
  <si>
    <t>ENGENHEIRO CIVIL DE OBRA PLENO COM ENCARGOS COMPLEMENTARES</t>
  </si>
  <si>
    <t>TOPÓGRAFO COM ENCARGOS COMPLEMENTARES</t>
  </si>
  <si>
    <t>AUXILIAR DE TOPÓGRAFO COM ENCARGOS COMPLEMENTARES</t>
  </si>
  <si>
    <t>A.1</t>
  </si>
  <si>
    <t>PESSOAL DE NÍVEL SUPERIOR</t>
  </si>
  <si>
    <t>A.2</t>
  </si>
  <si>
    <t>PESSOAL DE NÍVEL TÉCNICO E AUXILIAR</t>
  </si>
  <si>
    <t>C.1</t>
  </si>
  <si>
    <t>C.2</t>
  </si>
  <si>
    <t>C.3</t>
  </si>
  <si>
    <t>C.4</t>
  </si>
  <si>
    <t>MATERIAIS DE CONSUMO</t>
  </si>
  <si>
    <t>SINAPI 370</t>
  </si>
  <si>
    <t>SINAPI 88253</t>
  </si>
  <si>
    <t>SINAPI 87445</t>
  </si>
  <si>
    <t>SINAPI 92144</t>
  </si>
  <si>
    <t>SINAPI 88262</t>
  </si>
  <si>
    <t>SINAPI 1379</t>
  </si>
  <si>
    <t>SINAPI 2359</t>
  </si>
  <si>
    <t>SINAPI 90776</t>
  </si>
  <si>
    <t>SINAPI 90777</t>
  </si>
  <si>
    <t>SINAPI 90778</t>
  </si>
  <si>
    <t>SINAPI 4221</t>
  </si>
  <si>
    <t>SINAPI 4718</t>
  </si>
  <si>
    <t>SINAPI 4813</t>
  </si>
  <si>
    <t>SINAPI 4491</t>
  </si>
  <si>
    <t>SINAPI 5075</t>
  </si>
  <si>
    <t>SINAPI 4417</t>
  </si>
  <si>
    <t>SINAPI 88316</t>
  </si>
  <si>
    <t>SINAPI 90781</t>
  </si>
  <si>
    <t>PREÇO UNIT.</t>
  </si>
  <si>
    <t>PREÇO TOTAL</t>
  </si>
  <si>
    <t>Estação total eletrônica com alcance máximo de 3.000 m - SICRO</t>
  </si>
  <si>
    <t>14094/ORSE</t>
  </si>
  <si>
    <t>D.1</t>
  </si>
  <si>
    <t>ENSAIOS</t>
  </si>
  <si>
    <t>Ensaio - Compactação Proctor Intermediário com reuso de material (6 pontos)</t>
  </si>
  <si>
    <t>REGULARIZAÇÃO DE SUBLEITO E REVESTIMENTO PRIMÁRIO DE ESTRADAS</t>
  </si>
  <si>
    <t>Regularicação de subleito: 1.000 m * 5 de comprimento * 6,00 m de largura = 30.000 m² por módulo.</t>
  </si>
  <si>
    <t>Julho de 2023</t>
  </si>
  <si>
    <t>SINAPI BAHIA - OUTUBRO DE 2023</t>
  </si>
  <si>
    <t>Placa de sinalização: 14 placas por módulo de 30.000 m² (01 placa por km de estrada, em média).</t>
  </si>
  <si>
    <t>Suporte metálico para sinalização: 14 suportes por módulo de 30.000 m².</t>
  </si>
  <si>
    <t>Transporte de material de jazida: 4.500 m³ (revestimento) * 2.063/1,50 (massa específica compactada/massa específica solta) * 1,50 (densidade do material) * 17 km = 157.819,50 ton*km.</t>
  </si>
  <si>
    <t>CONTRATAÇÃO DE SERVIÇOS COMUNS DE ENGENHARIA PARA REGULARIZAÇÃO DE SUBLEITO E REVESTIMENTO PRIMÁRIO DE ESTRADAS EM MUNICÍPIOS DA ÁREA DE ATUAÇÃO DA 2ª SUPERINTENDÊNCIA REGIONAL DA CODEVASF, NO ESTADO DA BAHIA.</t>
  </si>
  <si>
    <t>OBJETO: CONTRATAÇÃO DE SERVIÇOS COMUNS DE ENGENHARIA PARA REGULARIZAÇÃO DE SUBLEITO E REVESTIMENTO PRIMÁRIO DE ESTRADAS EM MUNICÍPIOS DA ÁREA DE ATUAÇÃO DA 2ª SUPERINTENDÊNCIA REGIONAL DA CODEVASF, NO ESTADO DA BAHIA.</t>
  </si>
  <si>
    <t>Contratação de serviços comuns de engenharia para regularização de subleito e revestimento primário de estradas em municípios na área de atuação da 2ª Superintendência Regional da Codevasf, no estado da Bahia.</t>
  </si>
  <si>
    <t>Referências de Custos: SINAPI BAHIA (OUTUBRO/2023); SICRO BAHIA (JULHO/2023); e ORSE (OUTUBRO/2023).</t>
  </si>
  <si>
    <t>Referências de Custos: SINAPI BAHIA (OUTUBRO / 2023); SICRO BAHIA (JULHO / 2023); e ORSE (OUTUBRO / 2023).</t>
  </si>
  <si>
    <t>Local: Área de abrangência da 2ª Superintendência Regional.</t>
  </si>
  <si>
    <t>ANEXO 4 - MÓDULO MÍNIMO DE 30.000 M² DE ESTRADAS VICINAIS (SEM DESONERAÇÃO)</t>
  </si>
  <si>
    <t>ANEXO 4 - CRONOGRAMA DE EXECUÇÃO FÍSICO-FINANCEIRA</t>
  </si>
  <si>
    <t>ANEXO 4 - MEMÓRIA DE CÁLCULOS - MÓDULO MÍNIMO DE 30.000 M² DE ESTRADAS</t>
  </si>
  <si>
    <t>A - EQUIPE TECNICA</t>
  </si>
  <si>
    <t>ANEXO 4 - PLANILHA COMPOSIÇÕES DE CUSTOS - SINAPI BAHIA SETEMBRO DE 2023</t>
  </si>
  <si>
    <t xml:space="preserve">ANEXO 4 - COMPOSIÇÕES DE CUSTOS DE ENSAIOS </t>
  </si>
  <si>
    <t>ANEXO 4 - CUSTOS UNITÁRIOS DE INSUMOS E SERVIÇOS PARA COMPOSIÇÕES DE PREÇOS - SICRO/SINAPI/SICRO</t>
  </si>
  <si>
    <t>ANEXO 4 - MEMÓRIA DE CÁLCULO DOS MOMENTOS DE TRANSPORTE PARA MOBILIZAÇÃO E DESMOBILIZAÇÃO</t>
  </si>
  <si>
    <t>ANEXO 4 - DETALHAMENTO DE ENCARGOS SOCIAIS - HORISTAS E MENSALISTAS (SEM DESONERAÇÃO)</t>
  </si>
  <si>
    <t>ANEXO 4 - PLANILHA DE DETALHAMENTO DO BDI</t>
  </si>
  <si>
    <t>ANEXO 5 - PLANILHA DE CUSTOS e PREÇOS DA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</si>
</sst>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&quot;Cr$ &quot;#,##0.00_);[Red]&quot;(Cr$ &quot;#,##0.00\)"/>
    <numFmt numFmtId="168" formatCode="General_)"/>
    <numFmt numFmtId="169" formatCode="_(* #,##0.00_);_(* \(#,##0.00\);_(* \-??_);_(@_)"/>
    <numFmt numFmtId="170" formatCode="[$-416]#,##0.00_);[Red]\(#,##0.00\)"/>
    <numFmt numFmtId="171" formatCode="dd/mm/yy;@"/>
    <numFmt numFmtId="172" formatCode="_-* #,##0.00_-;\-* #,##0.00_-;_-* \-??_-;_-@_-"/>
    <numFmt numFmtId="173" formatCode="_(* #,##0.00_);_(* \(#,##0.00\);_(* &quot;-&quot;??_);_(@_)"/>
    <numFmt numFmtId="174" formatCode="_-&quot;R$&quot;\ * #,##0.0000_-;\-&quot;R$&quot;\ * #,##0.0000_-;_-&quot;R$&quot;\ * &quot;-&quot;??_-;_-@_-"/>
    <numFmt numFmtId="175" formatCode="#,##0.0"/>
    <numFmt numFmtId="176" formatCode="#,##0.0000000"/>
    <numFmt numFmtId="177" formatCode="_-&quot;R$&quot;\ * #,##0.000000_-;\-&quot;R$&quot;\ * #,##0.000000_-;_-&quot;R$&quot;\ * &quot;-&quot;??.0000_-;_-@_-"/>
    <numFmt numFmtId="178" formatCode="&quot;R$&quot;\ #,##0.0000"/>
    <numFmt numFmtId="179" formatCode="0.0000"/>
    <numFmt numFmtId="180" formatCode="_-&quot;R$&quot;\ * #,##0.0000_-;\-&quot;R$&quot;\ * #,##0.0000_-;_-&quot;R$&quot;\ * &quot;-&quot;??.00_-;_-@_-"/>
    <numFmt numFmtId="181" formatCode="#,##0.0000"/>
    <numFmt numFmtId="182" formatCode="#,##0.00000"/>
    <numFmt numFmtId="183" formatCode="_-&quot;R$ &quot;* #,##0.0000_-;&quot;-R$ &quot;* #,##0.0000_-;_-&quot;R$ &quot;* \-??.00_-;_-@_-"/>
    <numFmt numFmtId="184" formatCode="&quot;R$&quot;\ #,##0.00"/>
    <numFmt numFmtId="185" formatCode="0.0000000"/>
    <numFmt numFmtId="186" formatCode="0.000"/>
    <numFmt numFmtId="187" formatCode="[$R$-416]\ #,##0.00;[Red]\-[$R$-416]\ #,##0.00"/>
    <numFmt numFmtId="188" formatCode="0.000000%"/>
    <numFmt numFmtId="189" formatCode="_-&quot;R$ &quot;* #,##0.0000_-;&quot;-R$ &quot;* #,##0.0000_-;_-&quot;R$ &quot;* \-??_-;_-@_-"/>
    <numFmt numFmtId="190" formatCode="0.0000%"/>
    <numFmt numFmtId="191" formatCode="_-&quot;R$ &quot;* #,##0.0000_-;&quot;-R$ &quot;* #,##0.0000_-;_-&quot;R$ &quot;* \-??.0000_-;_-@_-"/>
    <numFmt numFmtId="192" formatCode="[$R$-416]\ #,##0.0000;[Red]\-[$R$-416]\ #,##0.0000"/>
    <numFmt numFmtId="193" formatCode="_-&quot;R$ &quot;* #,##0_-;&quot;-R$ &quot;* #,##0_-;_-&quot;R$ &quot;* \-??_-;_-@_-"/>
    <numFmt numFmtId="194" formatCode="_-&quot;R$ &quot;* #,##0.00_-;&quot;-R$ &quot;* #,##0.00_-;_-&quot;R$ &quot;* \-??.00_-;_-@_-"/>
    <numFmt numFmtId="195" formatCode="_-&quot;R$ &quot;* #,##0.000000000000_-;&quot;-R$ &quot;* #,##0.000000000000_-;_-&quot;R$ &quot;* \-??.000000000000_-;_-@_-"/>
    <numFmt numFmtId="196" formatCode="0.00000_ "/>
    <numFmt numFmtId="197" formatCode="0.00_ "/>
    <numFmt numFmtId="198" formatCode="_-&quot;R$ &quot;* #,##0.0000000_-;&quot;-R$ &quot;* #,##0.0000000_-;_-&quot;R$ &quot;* \-??.00000_-;_-@_-"/>
    <numFmt numFmtId="199" formatCode="_-&quot;R$ &quot;* #,##0.0000000000000_-;&quot;-R$ &quot;* #,##0.0000000000000_-;_-&quot;R$ &quot;* \-??.00000000000_-;_-@_-"/>
    <numFmt numFmtId="200" formatCode="&quot;R$&quot;\ #,##0.0000_);[Red]\(&quot;R$&quot;\ #,###.0000\)"/>
    <numFmt numFmtId="201" formatCode="&quot;R$&quot;\ #,##0.00_);[Red]\(&quot;R$&quot;\ #,###.00\)"/>
    <numFmt numFmtId="202" formatCode="&quot;R$&quot;#,##0.00_);[Red]\(&quot;R$&quot;#,##0.00\)"/>
  </numFmts>
  <fonts count="124">
    <font>
      <sz val="11"/>
      <color rgb="FF000000"/>
      <name val="Calibri"/>
      <charset val="1"/>
    </font>
    <font>
      <sz val="11"/>
      <color theme="1"/>
      <name val="Calibri"/>
      <family val="2"/>
      <scheme val="minor"/>
    </font>
    <font>
      <sz val="11"/>
      <name val="Arial"/>
      <charset val="134"/>
    </font>
    <font>
      <b/>
      <sz val="14"/>
      <color rgb="FFFFFF00"/>
      <name val="Arial"/>
      <charset val="134"/>
    </font>
    <font>
      <b/>
      <sz val="16"/>
      <name val="Arial"/>
      <charset val="134"/>
    </font>
    <font>
      <b/>
      <sz val="12"/>
      <color rgb="FFFFFF00"/>
      <name val="Arial"/>
      <charset val="134"/>
    </font>
    <font>
      <b/>
      <sz val="10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b/>
      <sz val="11"/>
      <color theme="0"/>
      <name val="Arial"/>
      <charset val="134"/>
    </font>
    <font>
      <sz val="11"/>
      <color theme="1"/>
      <name val="Arial"/>
      <charset val="134"/>
    </font>
    <font>
      <b/>
      <sz val="11"/>
      <color rgb="FFFFFF00"/>
      <name val="Arial"/>
      <charset val="134"/>
    </font>
    <font>
      <b/>
      <sz val="9"/>
      <color rgb="FFFFFF00"/>
      <name val="Arial"/>
      <charset val="134"/>
    </font>
    <font>
      <b/>
      <sz val="9"/>
      <name val="Arial"/>
      <charset val="134"/>
    </font>
    <font>
      <b/>
      <sz val="8"/>
      <name val="Arial"/>
      <charset val="134"/>
    </font>
    <font>
      <b/>
      <sz val="8"/>
      <color theme="1"/>
      <name val="Arial"/>
      <charset val="134"/>
    </font>
    <font>
      <b/>
      <strike/>
      <sz val="10"/>
      <name val="Arial"/>
      <charset val="134"/>
    </font>
    <font>
      <b/>
      <sz val="12"/>
      <color rgb="FF006600"/>
      <name val="Arial"/>
      <charset val="134"/>
    </font>
    <font>
      <sz val="10"/>
      <name val="Arial"/>
      <charset val="134"/>
    </font>
    <font>
      <b/>
      <sz val="8"/>
      <color rgb="FFFFFF00"/>
      <name val="Arial"/>
      <charset val="134"/>
    </font>
    <font>
      <b/>
      <sz val="8.5"/>
      <color rgb="FFFFFF00"/>
      <name val="Arial"/>
      <charset val="134"/>
    </font>
    <font>
      <b/>
      <sz val="11"/>
      <name val="Arial"/>
      <charset val="134"/>
    </font>
    <font>
      <b/>
      <sz val="10"/>
      <color rgb="FF000000"/>
      <name val="Arial Narrow"/>
      <charset val="1"/>
    </font>
    <font>
      <b/>
      <sz val="12"/>
      <color rgb="FF000000"/>
      <name val="Arial Narrow"/>
      <charset val="1"/>
    </font>
    <font>
      <sz val="10"/>
      <name val="Arial"/>
      <charset val="1"/>
    </font>
    <font>
      <b/>
      <sz val="10"/>
      <name val="Arial"/>
      <charset val="1"/>
    </font>
    <font>
      <b/>
      <sz val="15"/>
      <color rgb="FFFFFF00"/>
      <name val="Arial"/>
      <charset val="1"/>
    </font>
    <font>
      <b/>
      <sz val="18"/>
      <name val="Arial"/>
      <charset val="1"/>
    </font>
    <font>
      <b/>
      <sz val="9"/>
      <color rgb="FFFFFF00"/>
      <name val="Verdana"/>
      <charset val="1"/>
    </font>
    <font>
      <sz val="9"/>
      <color rgb="FFFFFF00"/>
      <name val="Verdana"/>
      <charset val="1"/>
    </font>
    <font>
      <sz val="9"/>
      <name val="Verdana"/>
      <charset val="1"/>
    </font>
    <font>
      <b/>
      <sz val="9"/>
      <name val="Verdana"/>
      <charset val="1"/>
    </font>
    <font>
      <b/>
      <sz val="10"/>
      <color rgb="FFFFFF00"/>
      <name val="Arial"/>
      <charset val="1"/>
    </font>
    <font>
      <sz val="10"/>
      <color rgb="FFFFFF00"/>
      <name val="Arial"/>
      <charset val="1"/>
    </font>
    <font>
      <sz val="11"/>
      <name val="Calibri"/>
      <charset val="1"/>
    </font>
    <font>
      <b/>
      <sz val="11"/>
      <color rgb="FFFFFF00"/>
      <name val="Calibri"/>
      <charset val="134"/>
    </font>
    <font>
      <b/>
      <sz val="10"/>
      <color rgb="FFFFFF00"/>
      <name val="Arial"/>
      <charset val="134"/>
    </font>
    <font>
      <sz val="8"/>
      <name val="Arial"/>
      <charset val="134"/>
    </font>
    <font>
      <sz val="10"/>
      <color rgb="FF000000"/>
      <name val="Arial"/>
      <charset val="1"/>
    </font>
    <font>
      <sz val="10"/>
      <name val="Times New Roman"/>
      <charset val="134"/>
    </font>
    <font>
      <b/>
      <sz val="12"/>
      <color rgb="FFFFFF00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b/>
      <sz val="8"/>
      <name val="Times New Roman"/>
      <charset val="134"/>
    </font>
    <font>
      <sz val="8"/>
      <name val="Times New Roman"/>
      <charset val="134"/>
    </font>
    <font>
      <b/>
      <sz val="12"/>
      <color rgb="FF000000"/>
      <name val="Times New Roman"/>
      <charset val="134"/>
    </font>
    <font>
      <b/>
      <sz val="14"/>
      <color rgb="FFFFFF00"/>
      <name val="Times New Roman"/>
      <charset val="134"/>
    </font>
    <font>
      <i/>
      <sz val="14"/>
      <color rgb="FF003770"/>
      <name val="Arial Black"/>
      <charset val="134"/>
    </font>
    <font>
      <sz val="11"/>
      <color rgb="FF000000"/>
      <name val="Arial"/>
      <charset val="134"/>
    </font>
    <font>
      <b/>
      <sz val="14"/>
      <color rgb="FF000000"/>
      <name val="Arial"/>
      <charset val="134"/>
    </font>
    <font>
      <b/>
      <sz val="12"/>
      <color rgb="FF000000"/>
      <name val="Arial"/>
      <charset val="134"/>
    </font>
    <font>
      <b/>
      <i/>
      <sz val="12"/>
      <color rgb="FF000000"/>
      <name val="Arial"/>
      <charset val="134"/>
    </font>
    <font>
      <b/>
      <sz val="11"/>
      <color rgb="FF000000"/>
      <name val="Arial"/>
      <charset val="134"/>
    </font>
    <font>
      <b/>
      <sz val="14"/>
      <color rgb="FF000000"/>
      <name val="Calibri"/>
      <charset val="134"/>
    </font>
    <font>
      <sz val="11"/>
      <color theme="1"/>
      <name val="Calibri"/>
      <charset val="134"/>
      <scheme val="minor"/>
    </font>
    <font>
      <b/>
      <sz val="11"/>
      <color rgb="FF000000"/>
      <name val="Calibri"/>
      <charset val="1"/>
    </font>
    <font>
      <sz val="11"/>
      <color theme="1"/>
      <name val="Calibri"/>
      <charset val="1"/>
    </font>
    <font>
      <sz val="10"/>
      <color rgb="FFFF0000"/>
      <name val="Arial"/>
      <charset val="134"/>
    </font>
    <font>
      <sz val="10"/>
      <color rgb="FFFF3300"/>
      <name val="Arial"/>
      <charset val="134"/>
    </font>
    <font>
      <sz val="8"/>
      <color rgb="FFFFFF00"/>
      <name val="Arial"/>
      <charset val="134"/>
    </font>
    <font>
      <sz val="11"/>
      <color rgb="FF0070C0"/>
      <name val="Calibri"/>
      <charset val="1"/>
    </font>
    <font>
      <b/>
      <sz val="11"/>
      <name val="Times New Roman"/>
      <charset val="1"/>
    </font>
    <font>
      <b/>
      <sz val="11"/>
      <color rgb="FFFFFF00"/>
      <name val="Times New Roman"/>
      <charset val="1"/>
    </font>
    <font>
      <b/>
      <sz val="14"/>
      <name val="Times New Roman"/>
      <charset val="1"/>
    </font>
    <font>
      <b/>
      <sz val="11"/>
      <color rgb="FFFF0000"/>
      <name val="Times New Roman"/>
      <charset val="1"/>
    </font>
    <font>
      <b/>
      <sz val="18"/>
      <color rgb="FFFFFF00"/>
      <name val="Times New Roman"/>
      <charset val="1"/>
    </font>
    <font>
      <b/>
      <sz val="14"/>
      <color rgb="FFFFFF00"/>
      <name val="Times New Roman"/>
      <charset val="1"/>
    </font>
    <font>
      <b/>
      <sz val="14"/>
      <name val="Times New Roman"/>
      <charset val="134"/>
    </font>
    <font>
      <b/>
      <sz val="11"/>
      <name val="Calibri"/>
      <charset val="1"/>
    </font>
    <font>
      <b/>
      <sz val="16"/>
      <color rgb="FFFFFF00"/>
      <name val="Times New Roman"/>
      <charset val="1"/>
    </font>
    <font>
      <b/>
      <sz val="13"/>
      <name val="Times New Roman"/>
      <charset val="134"/>
    </font>
    <font>
      <b/>
      <sz val="12"/>
      <name val="Times New Roman"/>
      <charset val="1"/>
    </font>
    <font>
      <b/>
      <sz val="14"/>
      <color rgb="FF006600"/>
      <name val="Times New Roman"/>
      <charset val="1"/>
    </font>
    <font>
      <b/>
      <sz val="14"/>
      <color theme="1"/>
      <name val="Times New Roman"/>
      <charset val="1"/>
    </font>
    <font>
      <b/>
      <sz val="11"/>
      <color rgb="FFFFFF00"/>
      <name val="Times New Roman"/>
      <charset val="134"/>
    </font>
    <font>
      <b/>
      <sz val="11"/>
      <color rgb="FF000000"/>
      <name val="Times New Roman"/>
      <charset val="134"/>
    </font>
    <font>
      <b/>
      <sz val="16"/>
      <color rgb="FF006600"/>
      <name val="Times New Roman"/>
      <charset val="1"/>
    </font>
    <font>
      <b/>
      <sz val="16"/>
      <name val="Times New Roman"/>
      <charset val="1"/>
    </font>
    <font>
      <sz val="11"/>
      <name val="Times New Roman"/>
      <charset val="134"/>
    </font>
    <font>
      <b/>
      <sz val="9"/>
      <name val="Times New Roman"/>
      <charset val="134"/>
    </font>
    <font>
      <sz val="14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"/>
    </font>
    <font>
      <sz val="10"/>
      <color indexed="8"/>
      <name val="Times New Roman"/>
      <charset val="134"/>
    </font>
    <font>
      <sz val="11"/>
      <color indexed="8"/>
      <name val="Times New Roman"/>
      <charset val="134"/>
    </font>
    <font>
      <sz val="10"/>
      <name val="MS Sans Serif"/>
      <charset val="1"/>
    </font>
    <font>
      <sz val="11"/>
      <color rgb="FF000000"/>
      <name val="Calibri"/>
      <charset val="134"/>
    </font>
    <font>
      <sz val="8"/>
      <name val="Helv"/>
      <charset val="134"/>
    </font>
    <font>
      <sz val="10"/>
      <color rgb="FF000000"/>
      <name val="Tahoma"/>
      <charset val="1"/>
    </font>
    <font>
      <b/>
      <sz val="10"/>
      <color rgb="FF000000"/>
      <name val="Tahoma"/>
      <charset val="1"/>
    </font>
    <font>
      <sz val="11"/>
      <color rgb="FF000000"/>
      <name val="Calibri"/>
      <charset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b/>
      <sz val="14"/>
      <name val="Times New Roman"/>
      <family val="1"/>
    </font>
    <font>
      <b/>
      <sz val="14"/>
      <color rgb="FFFFFF00"/>
      <name val="Times New Roman"/>
      <family val="1"/>
    </font>
    <font>
      <b/>
      <sz val="12"/>
      <color rgb="FFFFFF00"/>
      <name val="Times New Roman"/>
      <family val="1"/>
    </font>
    <font>
      <b/>
      <sz val="11"/>
      <color rgb="FFFFFF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12"/>
      <color rgb="FFFFFF00"/>
      <name val="Arial"/>
      <family val="2"/>
    </font>
    <font>
      <b/>
      <sz val="12"/>
      <color rgb="FF000000"/>
      <name val="Arial"/>
      <family val="2"/>
    </font>
    <font>
      <b/>
      <sz val="12"/>
      <color rgb="FFFFFF00"/>
      <name val="Calibri"/>
      <family val="2"/>
    </font>
    <font>
      <b/>
      <sz val="11"/>
      <color rgb="FFFFFF00"/>
      <name val="Calibri"/>
      <family val="2"/>
      <scheme val="minor"/>
    </font>
    <font>
      <b/>
      <sz val="1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Arial"/>
      <family val="2"/>
    </font>
    <font>
      <b/>
      <sz val="14"/>
      <color rgb="FFFFFF00"/>
      <name val="Calibri"/>
      <family val="2"/>
    </font>
    <font>
      <b/>
      <sz val="10"/>
      <color rgb="FFFFFF00"/>
      <name val="Arial"/>
      <family val="2"/>
    </font>
    <font>
      <b/>
      <sz val="16"/>
      <color rgb="FFFFFF00"/>
      <name val="Times New Roman"/>
      <family val="1"/>
    </font>
    <font>
      <b/>
      <sz val="14"/>
      <color rgb="FFFFFF00"/>
      <name val="Arial"/>
      <family val="2"/>
    </font>
    <font>
      <b/>
      <sz val="18"/>
      <color rgb="FFFFFF00"/>
      <name val="Times New Roman"/>
      <family val="1"/>
    </font>
    <font>
      <b/>
      <sz val="12"/>
      <color rgb="FF000000"/>
      <name val="Calibri"/>
      <family val="2"/>
    </font>
    <font>
      <b/>
      <sz val="11"/>
      <color rgb="FFFFFF00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rgb="FF00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9FDD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rgb="FF006600"/>
        <bgColor indexed="31"/>
      </patternFill>
    </fill>
    <fill>
      <patternFill patternType="solid">
        <fgColor theme="6" tint="0.59999389629810485"/>
        <bgColor indexed="8"/>
      </patternFill>
    </fill>
    <fill>
      <patternFill patternType="solid">
        <fgColor rgb="FFFFFFCC"/>
        <bgColor indexed="8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rgb="FFD9D9DF"/>
        <bgColor rgb="FFDAE3F3"/>
      </patternFill>
    </fill>
    <fill>
      <patternFill patternType="solid">
        <fgColor rgb="FFA6A6A6"/>
        <bgColor rgb="FFA5A5A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6600"/>
        <bgColor rgb="FF003300"/>
      </patternFill>
    </fill>
    <fill>
      <patternFill patternType="solid">
        <fgColor rgb="FFD9D9D9"/>
        <bgColor rgb="FFD7E4BD"/>
      </patternFill>
    </fill>
    <fill>
      <patternFill patternType="solid">
        <fgColor rgb="FF006600"/>
        <bgColor rgb="FFFFFF00"/>
      </patternFill>
    </fill>
    <fill>
      <patternFill patternType="solid">
        <fgColor rgb="FFF9FDD3"/>
        <bgColor rgb="FFFFFF00"/>
      </patternFill>
    </fill>
    <fill>
      <patternFill patternType="solid">
        <fgColor rgb="FF006600"/>
        <bgColor rgb="FFFFFFCC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6600"/>
        <bgColor rgb="FFDAE3F3"/>
      </patternFill>
    </fill>
  </fills>
  <borders count="6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45">
    <xf numFmtId="0" fontId="0" fillId="0" borderId="0"/>
    <xf numFmtId="43" fontId="93" fillId="0" borderId="0" applyFont="0" applyFill="0" applyBorder="0" applyAlignment="0" applyProtection="0"/>
    <xf numFmtId="164" fontId="93" fillId="0" borderId="0" applyBorder="0" applyProtection="0"/>
    <xf numFmtId="9" fontId="93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18" fillId="0" borderId="0" applyFont="0" applyFill="0" applyBorder="0" applyAlignment="0" applyProtection="0"/>
    <xf numFmtId="166" fontId="24" fillId="0" borderId="0" applyBorder="0" applyProtection="0"/>
    <xf numFmtId="167" fontId="88" fillId="0" borderId="0" applyBorder="0" applyProtection="0"/>
    <xf numFmtId="44" fontId="18" fillId="0" borderId="0" applyFont="0" applyFill="0" applyBorder="0" applyAlignment="0" applyProtection="0"/>
    <xf numFmtId="0" fontId="24" fillId="0" borderId="0"/>
    <xf numFmtId="0" fontId="18" fillId="0" borderId="0"/>
    <xf numFmtId="0" fontId="18" fillId="0" borderId="0"/>
    <xf numFmtId="0" fontId="88" fillId="0" borderId="0"/>
    <xf numFmtId="0" fontId="93" fillId="0" borderId="0"/>
    <xf numFmtId="0" fontId="24" fillId="0" borderId="0"/>
    <xf numFmtId="0" fontId="18" fillId="0" borderId="0"/>
    <xf numFmtId="0" fontId="8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2" fillId="0" borderId="0"/>
    <xf numFmtId="0" fontId="93" fillId="0" borderId="0"/>
    <xf numFmtId="0" fontId="55" fillId="0" borderId="0"/>
    <xf numFmtId="0" fontId="93" fillId="0" borderId="0"/>
    <xf numFmtId="0" fontId="89" fillId="0" borderId="0"/>
    <xf numFmtId="168" fontId="90" fillId="0" borderId="0"/>
    <xf numFmtId="0" fontId="18" fillId="0" borderId="0"/>
    <xf numFmtId="0" fontId="18" fillId="0" borderId="0"/>
    <xf numFmtId="9" fontId="24" fillId="0" borderId="0" applyBorder="0" applyProtection="0"/>
    <xf numFmtId="9" fontId="18" fillId="0" borderId="0" applyFont="0" applyFill="0" applyBorder="0" applyAlignment="0" applyProtection="0"/>
    <xf numFmtId="169" fontId="93" fillId="0" borderId="0" applyBorder="0" applyProtection="0"/>
    <xf numFmtId="170" fontId="88" fillId="0" borderId="0" applyBorder="0" applyProtection="0"/>
    <xf numFmtId="170" fontId="88" fillId="0" borderId="0" applyBorder="0" applyProtection="0"/>
    <xf numFmtId="171" fontId="24" fillId="0" borderId="0" applyBorder="0" applyProtection="0"/>
    <xf numFmtId="169" fontId="93" fillId="0" borderId="0" applyBorder="0" applyProtection="0"/>
    <xf numFmtId="171" fontId="24" fillId="0" borderId="0" applyBorder="0" applyProtection="0"/>
    <xf numFmtId="171" fontId="24" fillId="0" borderId="0" applyBorder="0" applyProtection="0"/>
    <xf numFmtId="171" fontId="24" fillId="0" borderId="0" applyBorder="0" applyProtection="0"/>
    <xf numFmtId="170" fontId="88" fillId="0" borderId="0" applyBorder="0" applyProtection="0"/>
    <xf numFmtId="43" fontId="18" fillId="0" borderId="0" applyFont="0" applyFill="0" applyBorder="0" applyAlignment="0" applyProtection="0"/>
    <xf numFmtId="172" fontId="93" fillId="0" borderId="0" applyBorder="0" applyProtection="0"/>
    <xf numFmtId="43" fontId="55" fillId="0" borderId="0" applyFont="0" applyFill="0" applyBorder="0" applyAlignment="0" applyProtection="0"/>
    <xf numFmtId="172" fontId="93" fillId="0" borderId="0" applyBorder="0" applyProtection="0"/>
  </cellStyleXfs>
  <cellXfs count="757">
    <xf numFmtId="0" fontId="0" fillId="0" borderId="0" xfId="0"/>
    <xf numFmtId="0" fontId="2" fillId="0" borderId="0" xfId="22"/>
    <xf numFmtId="0" fontId="5" fillId="2" borderId="4" xfId="16" applyFont="1" applyFill="1" applyBorder="1" applyAlignment="1">
      <alignment vertical="center"/>
    </xf>
    <xf numFmtId="0" fontId="7" fillId="0" borderId="3" xfId="16" applyFont="1" applyBorder="1" applyAlignment="1">
      <alignment vertical="center" wrapText="1"/>
    </xf>
    <xf numFmtId="49" fontId="9" fillId="3" borderId="3" xfId="24" applyNumberFormat="1" applyFont="1" applyFill="1" applyBorder="1" applyAlignment="1">
      <alignment horizontal="center" vertical="center"/>
    </xf>
    <xf numFmtId="49" fontId="9" fillId="3" borderId="0" xfId="24" applyNumberFormat="1" applyFont="1" applyFill="1" applyAlignment="1">
      <alignment horizontal="center" vertical="center"/>
    </xf>
    <xf numFmtId="0" fontId="10" fillId="0" borderId="0" xfId="24" applyFont="1"/>
    <xf numFmtId="0" fontId="13" fillId="3" borderId="0" xfId="24" applyFont="1" applyFill="1" applyAlignment="1">
      <alignment horizontal="center" vertical="center"/>
    </xf>
    <xf numFmtId="0" fontId="13" fillId="0" borderId="17" xfId="24" applyFont="1" applyBorder="1" applyAlignment="1">
      <alignment horizontal="center" vertical="center"/>
    </xf>
    <xf numFmtId="0" fontId="0" fillId="0" borderId="0" xfId="24" applyFont="1" applyAlignment="1">
      <alignment vertical="center"/>
    </xf>
    <xf numFmtId="173" fontId="6" fillId="0" borderId="20" xfId="24" applyNumberFormat="1" applyFont="1" applyBorder="1" applyAlignment="1">
      <alignment horizontal="center" vertical="center" wrapText="1"/>
    </xf>
    <xf numFmtId="0" fontId="6" fillId="0" borderId="0" xfId="24" applyFont="1" applyAlignment="1">
      <alignment horizontal="justify" vertical="center" wrapText="1"/>
    </xf>
    <xf numFmtId="0" fontId="6" fillId="0" borderId="20" xfId="24" applyFont="1" applyBorder="1" applyAlignment="1">
      <alignment horizontal="justify" vertical="center" wrapText="1"/>
    </xf>
    <xf numFmtId="0" fontId="0" fillId="0" borderId="24" xfId="24" applyFont="1" applyBorder="1" applyAlignment="1">
      <alignment horizontal="center" vertical="center"/>
    </xf>
    <xf numFmtId="0" fontId="0" fillId="0" borderId="25" xfId="24" applyFont="1" applyBorder="1" applyAlignment="1">
      <alignment vertical="center"/>
    </xf>
    <xf numFmtId="10" fontId="0" fillId="0" borderId="26" xfId="43" applyNumberFormat="1" applyFont="1" applyFill="1" applyBorder="1" applyAlignment="1" applyProtection="1">
      <alignment horizontal="center" vertical="center"/>
      <protection locked="0"/>
    </xf>
    <xf numFmtId="10" fontId="0" fillId="0" borderId="0" xfId="43" applyNumberFormat="1" applyFont="1" applyBorder="1" applyAlignment="1">
      <alignment horizontal="center" vertical="center"/>
    </xf>
    <xf numFmtId="10" fontId="0" fillId="0" borderId="24" xfId="43" applyNumberFormat="1" applyFont="1" applyFill="1" applyBorder="1" applyAlignment="1" applyProtection="1">
      <alignment horizontal="center" vertical="center"/>
    </xf>
    <xf numFmtId="10" fontId="0" fillId="0" borderId="24" xfId="43" applyNumberFormat="1" applyFont="1" applyBorder="1" applyAlignment="1">
      <alignment horizontal="center" vertical="center"/>
    </xf>
    <xf numFmtId="10" fontId="6" fillId="0" borderId="30" xfId="43" applyNumberFormat="1" applyFont="1" applyFill="1" applyBorder="1" applyAlignment="1">
      <alignment horizontal="center" vertical="center"/>
    </xf>
    <xf numFmtId="10" fontId="6" fillId="0" borderId="0" xfId="43" applyNumberFormat="1" applyFont="1" applyBorder="1" applyAlignment="1">
      <alignment horizontal="center" vertical="center"/>
    </xf>
    <xf numFmtId="10" fontId="0" fillId="0" borderId="17" xfId="43" applyNumberFormat="1" applyFont="1" applyBorder="1" applyAlignment="1">
      <alignment horizontal="center" vertical="center"/>
    </xf>
    <xf numFmtId="0" fontId="0" fillId="0" borderId="0" xfId="24" applyFont="1" applyAlignment="1">
      <alignment horizontal="center" vertical="center"/>
    </xf>
    <xf numFmtId="10" fontId="0" fillId="0" borderId="20" xfId="43" applyNumberFormat="1" applyFont="1" applyBorder="1" applyAlignment="1">
      <alignment horizontal="center" vertical="center"/>
    </xf>
    <xf numFmtId="0" fontId="0" fillId="0" borderId="33" xfId="24" applyFont="1" applyBorder="1" applyAlignment="1">
      <alignment horizontal="center" vertical="center"/>
    </xf>
    <xf numFmtId="10" fontId="0" fillId="0" borderId="39" xfId="43" applyNumberFormat="1" applyFont="1" applyFill="1" applyBorder="1" applyAlignment="1" applyProtection="1">
      <alignment horizontal="center" vertical="center"/>
      <protection locked="0"/>
    </xf>
    <xf numFmtId="10" fontId="6" fillId="0" borderId="0" xfId="43" applyNumberFormat="1" applyFont="1" applyBorder="1" applyAlignment="1">
      <alignment horizontal="center" vertical="center" wrapText="1"/>
    </xf>
    <xf numFmtId="10" fontId="0" fillId="0" borderId="43" xfId="43" applyNumberFormat="1" applyFont="1" applyBorder="1" applyAlignment="1">
      <alignment horizontal="center" vertical="center"/>
    </xf>
    <xf numFmtId="0" fontId="0" fillId="0" borderId="38" xfId="24" applyFont="1" applyBorder="1" applyAlignment="1">
      <alignment vertical="center"/>
    </xf>
    <xf numFmtId="10" fontId="0" fillId="3" borderId="0" xfId="43" applyNumberFormat="1" applyFont="1" applyFill="1" applyBorder="1" applyAlignment="1">
      <alignment vertical="center"/>
    </xf>
    <xf numFmtId="10" fontId="0" fillId="0" borderId="0" xfId="43" applyNumberFormat="1" applyFont="1" applyBorder="1" applyAlignment="1">
      <alignment vertical="center"/>
    </xf>
    <xf numFmtId="173" fontId="6" fillId="0" borderId="3" xfId="24" applyNumberFormat="1" applyFont="1" applyBorder="1" applyAlignment="1">
      <alignment horizontal="center" vertical="center" wrapText="1"/>
    </xf>
    <xf numFmtId="173" fontId="0" fillId="0" borderId="0" xfId="24" applyNumberFormat="1" applyFont="1" applyAlignment="1">
      <alignment vertical="center"/>
    </xf>
    <xf numFmtId="0" fontId="0" fillId="0" borderId="3" xfId="24" applyFont="1" applyBorder="1" applyAlignment="1">
      <alignment horizontal="center" vertical="center"/>
    </xf>
    <xf numFmtId="0" fontId="6" fillId="0" borderId="0" xfId="24" applyFont="1" applyAlignment="1">
      <alignment horizontal="center" vertical="center"/>
    </xf>
    <xf numFmtId="0" fontId="0" fillId="0" borderId="3" xfId="24" applyFont="1" applyBorder="1" applyAlignment="1">
      <alignment horizontal="right" vertical="center"/>
    </xf>
    <xf numFmtId="0" fontId="0" fillId="0" borderId="0" xfId="24" applyFont="1" applyAlignment="1">
      <alignment horizontal="right" vertical="center"/>
    </xf>
    <xf numFmtId="165" fontId="16" fillId="0" borderId="0" xfId="43" applyNumberFormat="1" applyFont="1" applyBorder="1" applyAlignment="1">
      <alignment vertical="center"/>
    </xf>
    <xf numFmtId="10" fontId="17" fillId="4" borderId="38" xfId="24" applyNumberFormat="1" applyFont="1" applyFill="1" applyBorder="1" applyAlignment="1">
      <alignment vertical="center"/>
    </xf>
    <xf numFmtId="10" fontId="7" fillId="0" borderId="0" xfId="24" applyNumberFormat="1" applyFont="1" applyAlignment="1">
      <alignment vertical="center"/>
    </xf>
    <xf numFmtId="10" fontId="17" fillId="4" borderId="15" xfId="24" applyNumberFormat="1" applyFont="1" applyFill="1" applyBorder="1" applyAlignment="1">
      <alignment vertical="center"/>
    </xf>
    <xf numFmtId="10" fontId="7" fillId="0" borderId="5" xfId="24" applyNumberFormat="1" applyFont="1" applyBorder="1" applyAlignment="1">
      <alignment vertical="center"/>
    </xf>
    <xf numFmtId="10" fontId="0" fillId="0" borderId="5" xfId="43" applyNumberFormat="1" applyFont="1" applyBorder="1" applyAlignment="1">
      <alignment vertical="center"/>
    </xf>
    <xf numFmtId="0" fontId="18" fillId="0" borderId="0" xfId="16"/>
    <xf numFmtId="0" fontId="10" fillId="0" borderId="50" xfId="24" applyFont="1" applyBorder="1"/>
    <xf numFmtId="0" fontId="13" fillId="0" borderId="30" xfId="24" applyFont="1" applyBorder="1" applyAlignment="1">
      <alignment horizontal="center" vertical="center"/>
    </xf>
    <xf numFmtId="0" fontId="10" fillId="0" borderId="52" xfId="24" applyFont="1" applyBorder="1"/>
    <xf numFmtId="10" fontId="0" fillId="0" borderId="26" xfId="43" applyNumberFormat="1" applyFont="1" applyBorder="1" applyAlignment="1">
      <alignment horizontal="center" vertical="center"/>
    </xf>
    <xf numFmtId="10" fontId="0" fillId="0" borderId="30" xfId="43" applyNumberFormat="1" applyFont="1" applyBorder="1" applyAlignment="1">
      <alignment horizontal="center" vertical="center"/>
    </xf>
    <xf numFmtId="10" fontId="0" fillId="0" borderId="50" xfId="43" applyNumberFormat="1" applyFont="1" applyBorder="1" applyAlignment="1">
      <alignment horizontal="center" vertical="center"/>
    </xf>
    <xf numFmtId="10" fontId="0" fillId="0" borderId="52" xfId="43" applyNumberFormat="1" applyFont="1" applyBorder="1" applyAlignment="1">
      <alignment horizontal="center" vertical="center"/>
    </xf>
    <xf numFmtId="10" fontId="0" fillId="0" borderId="53" xfId="43" applyNumberFormat="1" applyFont="1" applyBorder="1" applyAlignment="1">
      <alignment horizontal="center" vertical="center"/>
    </xf>
    <xf numFmtId="10" fontId="0" fillId="3" borderId="50" xfId="43" applyNumberFormat="1" applyFont="1" applyFill="1" applyBorder="1" applyAlignment="1">
      <alignment vertical="center"/>
    </xf>
    <xf numFmtId="10" fontId="0" fillId="0" borderId="50" xfId="43" applyNumberFormat="1" applyFont="1" applyBorder="1" applyAlignment="1">
      <alignment vertical="center"/>
    </xf>
    <xf numFmtId="10" fontId="0" fillId="0" borderId="48" xfId="43" applyNumberFormat="1" applyFont="1" applyBorder="1" applyAlignment="1">
      <alignment vertical="center"/>
    </xf>
    <xf numFmtId="0" fontId="11" fillId="2" borderId="6" xfId="16" applyFont="1" applyFill="1" applyBorder="1" applyAlignment="1">
      <alignment horizontal="center" vertical="center" wrapText="1"/>
    </xf>
    <xf numFmtId="0" fontId="11" fillId="2" borderId="48" xfId="16" applyFont="1" applyFill="1" applyBorder="1" applyAlignment="1">
      <alignment horizontal="center" vertical="center" wrapText="1"/>
    </xf>
    <xf numFmtId="0" fontId="6" fillId="6" borderId="54" xfId="16" applyFont="1" applyFill="1" applyBorder="1" applyAlignment="1">
      <alignment horizontal="center" vertical="center" wrapText="1"/>
    </xf>
    <xf numFmtId="0" fontId="18" fillId="0" borderId="54" xfId="16" applyBorder="1" applyAlignment="1">
      <alignment horizontal="center" vertical="center" wrapText="1"/>
    </xf>
    <xf numFmtId="0" fontId="18" fillId="0" borderId="48" xfId="16" applyBorder="1" applyAlignment="1">
      <alignment horizontal="justify" vertical="center" wrapText="1"/>
    </xf>
    <xf numFmtId="2" fontId="18" fillId="0" borderId="48" xfId="16" applyNumberFormat="1" applyBorder="1" applyAlignment="1">
      <alignment horizontal="center" vertical="center" wrapText="1"/>
    </xf>
    <xf numFmtId="2" fontId="6" fillId="4" borderId="48" xfId="16" applyNumberFormat="1" applyFont="1" applyFill="1" applyBorder="1" applyAlignment="1">
      <alignment horizontal="center" vertical="center" wrapText="1"/>
    </xf>
    <xf numFmtId="0" fontId="18" fillId="0" borderId="48" xfId="16" applyBorder="1" applyAlignment="1">
      <alignment horizontal="center" vertical="center" wrapText="1"/>
    </xf>
    <xf numFmtId="0" fontId="6" fillId="4" borderId="48" xfId="16" applyFont="1" applyFill="1" applyBorder="1" applyAlignment="1">
      <alignment horizontal="center" vertical="center" wrapText="1"/>
    </xf>
    <xf numFmtId="2" fontId="21" fillId="0" borderId="48" xfId="31" applyNumberFormat="1" applyFont="1" applyFill="1" applyBorder="1" applyAlignment="1">
      <alignment horizontal="center" vertical="center" wrapText="1"/>
    </xf>
    <xf numFmtId="49" fontId="22" fillId="0" borderId="34" xfId="0" applyNumberFormat="1" applyFont="1" applyBorder="1" applyAlignment="1">
      <alignment vertical="top" wrapText="1"/>
    </xf>
    <xf numFmtId="49" fontId="22" fillId="0" borderId="55" xfId="0" applyNumberFormat="1" applyFont="1" applyBorder="1" applyAlignment="1">
      <alignment vertical="top" wrapText="1"/>
    </xf>
    <xf numFmtId="49" fontId="22" fillId="0" borderId="56" xfId="0" applyNumberFormat="1" applyFont="1" applyBorder="1" applyAlignment="1">
      <alignment vertical="top" wrapText="1"/>
    </xf>
    <xf numFmtId="49" fontId="22" fillId="0" borderId="0" xfId="0" applyNumberFormat="1" applyFont="1" applyBorder="1" applyAlignment="1">
      <alignment vertical="top" wrapText="1"/>
    </xf>
    <xf numFmtId="0" fontId="24" fillId="0" borderId="56" xfId="15" applyFont="1" applyBorder="1"/>
    <xf numFmtId="0" fontId="24" fillId="0" borderId="0" xfId="15" applyFont="1" applyBorder="1"/>
    <xf numFmtId="4" fontId="24" fillId="0" borderId="0" xfId="15" applyNumberFormat="1" applyFont="1" applyBorder="1"/>
    <xf numFmtId="0" fontId="24" fillId="0" borderId="0" xfId="15" applyBorder="1" applyAlignment="1">
      <alignment vertical="center"/>
    </xf>
    <xf numFmtId="0" fontId="24" fillId="0" borderId="0" xfId="15" applyBorder="1"/>
    <xf numFmtId="0" fontId="25" fillId="0" borderId="56" xfId="0" applyFont="1" applyBorder="1" applyAlignment="1">
      <alignment horizontal="left" vertical="top"/>
    </xf>
    <xf numFmtId="0" fontId="25" fillId="0" borderId="0" xfId="0" applyFont="1" applyBorder="1" applyAlignment="1">
      <alignment vertical="top" wrapText="1"/>
    </xf>
    <xf numFmtId="0" fontId="25" fillId="0" borderId="0" xfId="0" applyFont="1" applyBorder="1"/>
    <xf numFmtId="0" fontId="2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7" fillId="0" borderId="56" xfId="15" applyFont="1" applyBorder="1" applyAlignment="1">
      <alignment horizontal="center" vertical="center"/>
    </xf>
    <xf numFmtId="0" fontId="27" fillId="0" borderId="0" xfId="15" applyFont="1" applyBorder="1" applyAlignment="1">
      <alignment horizontal="center" vertical="center"/>
    </xf>
    <xf numFmtId="0" fontId="28" fillId="2" borderId="1" xfId="15" applyFont="1" applyFill="1" applyBorder="1" applyAlignment="1">
      <alignment vertical="center"/>
    </xf>
    <xf numFmtId="0" fontId="29" fillId="2" borderId="6" xfId="15" applyFont="1" applyFill="1" applyBorder="1" applyAlignment="1">
      <alignment vertical="center"/>
    </xf>
    <xf numFmtId="0" fontId="30" fillId="0" borderId="56" xfId="15" applyFont="1" applyBorder="1"/>
    <xf numFmtId="0" fontId="30" fillId="0" borderId="0" xfId="15" applyFont="1" applyBorder="1"/>
    <xf numFmtId="2" fontId="30" fillId="0" borderId="0" xfId="15" applyNumberFormat="1" applyFont="1" applyBorder="1"/>
    <xf numFmtId="0" fontId="28" fillId="2" borderId="1" xfId="15" applyFont="1" applyFill="1" applyBorder="1"/>
    <xf numFmtId="0" fontId="29" fillId="2" borderId="6" xfId="15" applyFont="1" applyFill="1" applyBorder="1"/>
    <xf numFmtId="0" fontId="30" fillId="0" borderId="0" xfId="15" applyFont="1" applyBorder="1" applyAlignment="1"/>
    <xf numFmtId="2" fontId="30" fillId="0" borderId="4" xfId="15" applyNumberFormat="1" applyFont="1" applyBorder="1" applyAlignment="1">
      <alignment horizontal="center" vertical="center"/>
    </xf>
    <xf numFmtId="0" fontId="31" fillId="0" borderId="0" xfId="15" applyFont="1" applyBorder="1"/>
    <xf numFmtId="0" fontId="24" fillId="0" borderId="56" xfId="15" applyBorder="1"/>
    <xf numFmtId="0" fontId="32" fillId="2" borderId="1" xfId="15" applyFont="1" applyFill="1" applyBorder="1"/>
    <xf numFmtId="0" fontId="33" fillId="2" borderId="6" xfId="15" applyFont="1" applyFill="1" applyBorder="1"/>
    <xf numFmtId="2" fontId="31" fillId="0" borderId="0" xfId="15" applyNumberFormat="1" applyFont="1" applyBorder="1"/>
    <xf numFmtId="2" fontId="31" fillId="0" borderId="4" xfId="15" applyNumberFormat="1" applyFont="1" applyFill="1" applyBorder="1" applyAlignment="1">
      <alignment horizontal="center" vertical="center"/>
    </xf>
    <xf numFmtId="0" fontId="33" fillId="2" borderId="2" xfId="15" applyFont="1" applyFill="1" applyBorder="1"/>
    <xf numFmtId="0" fontId="6" fillId="0" borderId="13" xfId="15" applyFont="1" applyBorder="1"/>
    <xf numFmtId="0" fontId="24" fillId="0" borderId="57" xfId="15" applyBorder="1"/>
    <xf numFmtId="4" fontId="24" fillId="0" borderId="0" xfId="15" applyNumberFormat="1" applyBorder="1"/>
    <xf numFmtId="4" fontId="25" fillId="0" borderId="57" xfId="15" applyNumberFormat="1" applyFont="1" applyBorder="1"/>
    <xf numFmtId="0" fontId="24" fillId="0" borderId="13" xfId="15" applyBorder="1"/>
    <xf numFmtId="0" fontId="24" fillId="0" borderId="59" xfId="15" applyBorder="1"/>
    <xf numFmtId="0" fontId="0" fillId="3" borderId="0" xfId="0" applyFill="1" applyAlignment="1">
      <alignment vertical="center" wrapText="1"/>
    </xf>
    <xf numFmtId="0" fontId="34" fillId="3" borderId="0" xfId="0" applyFont="1" applyFill="1" applyAlignment="1">
      <alignment vertical="center" wrapText="1"/>
    </xf>
    <xf numFmtId="0" fontId="0" fillId="3" borderId="0" xfId="0" applyFill="1"/>
    <xf numFmtId="0" fontId="36" fillId="2" borderId="25" xfId="0" applyFont="1" applyFill="1" applyBorder="1" applyAlignment="1">
      <alignment vertical="center" wrapText="1"/>
    </xf>
    <xf numFmtId="0" fontId="36" fillId="2" borderId="25" xfId="0" applyFont="1" applyFill="1" applyBorder="1" applyAlignment="1">
      <alignment horizontal="center" vertical="center" wrapText="1"/>
    </xf>
    <xf numFmtId="0" fontId="18" fillId="7" borderId="25" xfId="0" applyFont="1" applyFill="1" applyBorder="1" applyAlignment="1">
      <alignment vertical="center" wrapText="1"/>
    </xf>
    <xf numFmtId="0" fontId="18" fillId="7" borderId="25" xfId="0" applyFont="1" applyFill="1" applyBorder="1" applyAlignment="1">
      <alignment horizontal="center" vertical="center" wrapText="1"/>
    </xf>
    <xf numFmtId="49" fontId="18" fillId="7" borderId="25" xfId="0" applyNumberFormat="1" applyFont="1" applyFill="1" applyBorder="1" applyAlignment="1">
      <alignment horizontal="center" vertical="center" wrapText="1"/>
    </xf>
    <xf numFmtId="0" fontId="0" fillId="7" borderId="25" xfId="0" applyFill="1" applyBorder="1" applyAlignment="1">
      <alignment vertical="center" wrapText="1"/>
    </xf>
    <xf numFmtId="0" fontId="0" fillId="7" borderId="25" xfId="0" applyFill="1" applyBorder="1" applyAlignment="1">
      <alignment horizontal="center" vertical="center" wrapText="1"/>
    </xf>
    <xf numFmtId="0" fontId="18" fillId="7" borderId="25" xfId="26" applyFont="1" applyFill="1" applyBorder="1" applyAlignment="1">
      <alignment horizontal="justify" vertical="center" wrapText="1"/>
    </xf>
    <xf numFmtId="0" fontId="18" fillId="3" borderId="0" xfId="0" applyFont="1" applyFill="1" applyBorder="1" applyAlignment="1">
      <alignment vertical="top"/>
    </xf>
    <xf numFmtId="0" fontId="34" fillId="7" borderId="25" xfId="0" applyFont="1" applyFill="1" applyBorder="1" applyAlignment="1">
      <alignment vertical="center" wrapText="1"/>
    </xf>
    <xf numFmtId="0" fontId="34" fillId="7" borderId="25" xfId="0" applyFont="1" applyFill="1" applyBorder="1" applyAlignment="1">
      <alignment horizontal="center" vertical="center" wrapText="1"/>
    </xf>
    <xf numFmtId="0" fontId="34" fillId="7" borderId="25" xfId="0" applyNumberFormat="1" applyFont="1" applyFill="1" applyBorder="1" applyAlignment="1">
      <alignment vertical="center" wrapText="1"/>
    </xf>
    <xf numFmtId="0" fontId="18" fillId="3" borderId="0" xfId="12" applyFill="1"/>
    <xf numFmtId="0" fontId="18" fillId="0" borderId="0" xfId="12"/>
    <xf numFmtId="0" fontId="18" fillId="0" borderId="0" xfId="12" applyAlignment="1">
      <alignment horizontal="left"/>
    </xf>
    <xf numFmtId="0" fontId="18" fillId="3" borderId="0" xfId="12" applyFont="1" applyFill="1"/>
    <xf numFmtId="0" fontId="36" fillId="2" borderId="28" xfId="29" applyFont="1" applyFill="1" applyBorder="1" applyAlignment="1">
      <alignment horizontal="center" vertical="top"/>
    </xf>
    <xf numFmtId="0" fontId="6" fillId="0" borderId="28" xfId="29" applyFont="1" applyFill="1" applyBorder="1" applyAlignment="1">
      <alignment horizontal="center" vertical="top"/>
    </xf>
    <xf numFmtId="49" fontId="36" fillId="2" borderId="41" xfId="29" applyNumberFormat="1" applyFont="1" applyFill="1" applyBorder="1" applyAlignment="1">
      <alignment horizontal="center" vertical="center" wrapText="1"/>
    </xf>
    <xf numFmtId="0" fontId="36" fillId="2" borderId="41" xfId="29" applyFont="1" applyFill="1" applyBorder="1" applyAlignment="1">
      <alignment horizontal="center" vertical="center"/>
    </xf>
    <xf numFmtId="0" fontId="36" fillId="2" borderId="25" xfId="29" applyFont="1" applyFill="1" applyBorder="1" applyAlignment="1">
      <alignment horizontal="center" vertical="center"/>
    </xf>
    <xf numFmtId="0" fontId="37" fillId="0" borderId="25" xfId="29" applyFont="1" applyFill="1" applyBorder="1" applyAlignment="1">
      <alignment horizontal="left" vertical="center"/>
    </xf>
    <xf numFmtId="0" fontId="18" fillId="0" borderId="25" xfId="29" applyNumberFormat="1" applyFont="1" applyFill="1" applyBorder="1" applyAlignment="1">
      <alignment horizontal="left" vertical="center"/>
    </xf>
    <xf numFmtId="49" fontId="18" fillId="0" borderId="25" xfId="29" applyNumberFormat="1" applyFont="1" applyFill="1" applyBorder="1" applyAlignment="1">
      <alignment horizontal="center" vertical="center"/>
    </xf>
    <xf numFmtId="175" fontId="18" fillId="0" borderId="25" xfId="19" applyNumberFormat="1" applyFont="1" applyFill="1" applyBorder="1" applyAlignment="1">
      <alignment horizontal="center" vertical="center"/>
    </xf>
    <xf numFmtId="44" fontId="38" fillId="0" borderId="25" xfId="2" applyNumberFormat="1" applyFont="1" applyFill="1" applyBorder="1"/>
    <xf numFmtId="44" fontId="6" fillId="0" borderId="25" xfId="19" applyNumberFormat="1" applyFont="1" applyFill="1" applyBorder="1" applyAlignment="1">
      <alignment horizontal="center" vertical="center"/>
    </xf>
    <xf numFmtId="0" fontId="38" fillId="3" borderId="0" xfId="0" applyFont="1" applyFill="1"/>
    <xf numFmtId="49" fontId="36" fillId="3" borderId="0" xfId="29" applyNumberFormat="1" applyFont="1" applyFill="1" applyAlignment="1">
      <alignment horizontal="right" vertical="center"/>
    </xf>
    <xf numFmtId="44" fontId="6" fillId="3" borderId="0" xfId="19" applyNumberFormat="1" applyFont="1" applyFill="1" applyAlignment="1">
      <alignment horizontal="center" vertical="center"/>
    </xf>
    <xf numFmtId="0" fontId="36" fillId="2" borderId="25" xfId="29" applyFont="1" applyFill="1" applyBorder="1" applyAlignment="1">
      <alignment horizontal="center" vertical="top"/>
    </xf>
    <xf numFmtId="0" fontId="6" fillId="0" borderId="61" xfId="29" applyFont="1" applyFill="1" applyBorder="1" applyAlignment="1">
      <alignment horizontal="center" vertical="top"/>
    </xf>
    <xf numFmtId="49" fontId="36" fillId="2" borderId="25" xfId="29" applyNumberFormat="1" applyFont="1" applyFill="1" applyBorder="1" applyAlignment="1">
      <alignment horizontal="center" vertical="center" wrapText="1"/>
    </xf>
    <xf numFmtId="0" fontId="36" fillId="2" borderId="27" xfId="29" applyFont="1" applyFill="1" applyBorder="1" applyAlignment="1">
      <alignment horizontal="center" vertical="center"/>
    </xf>
    <xf numFmtId="0" fontId="37" fillId="3" borderId="25" xfId="26" applyFont="1" applyFill="1" applyBorder="1" applyAlignment="1">
      <alignment horizontal="left" vertical="center" wrapText="1"/>
    </xf>
    <xf numFmtId="0" fontId="18" fillId="3" borderId="25" xfId="26" applyFont="1" applyFill="1" applyBorder="1" applyAlignment="1">
      <alignment horizontal="justify" vertical="center" wrapText="1"/>
    </xf>
    <xf numFmtId="0" fontId="18" fillId="3" borderId="25" xfId="26" applyFont="1" applyFill="1" applyBorder="1" applyAlignment="1">
      <alignment horizontal="center" vertical="center" wrapText="1"/>
    </xf>
    <xf numFmtId="176" fontId="18" fillId="3" borderId="25" xfId="4" applyNumberFormat="1" applyFont="1" applyFill="1" applyBorder="1" applyAlignment="1">
      <alignment horizontal="center" vertical="center" wrapText="1"/>
    </xf>
    <xf numFmtId="4" fontId="18" fillId="3" borderId="25" xfId="4" applyNumberFormat="1" applyFont="1" applyFill="1" applyBorder="1" applyAlignment="1">
      <alignment horizontal="center" vertical="center" wrapText="1"/>
    </xf>
    <xf numFmtId="177" fontId="24" fillId="0" borderId="25" xfId="2" applyNumberFormat="1" applyFont="1" applyFill="1" applyBorder="1"/>
    <xf numFmtId="178" fontId="6" fillId="3" borderId="25" xfId="13" applyNumberFormat="1" applyFont="1" applyFill="1" applyBorder="1" applyAlignment="1">
      <alignment vertical="center"/>
    </xf>
    <xf numFmtId="49" fontId="6" fillId="3" borderId="0" xfId="29" applyNumberFormat="1" applyFont="1" applyFill="1" applyBorder="1" applyAlignment="1">
      <alignment horizontal="center" vertical="center"/>
    </xf>
    <xf numFmtId="49" fontId="6" fillId="3" borderId="0" xfId="29" applyNumberFormat="1" applyFont="1" applyFill="1" applyBorder="1" applyAlignment="1">
      <alignment horizontal="right" vertical="center"/>
    </xf>
    <xf numFmtId="49" fontId="19" fillId="3" borderId="0" xfId="29" applyNumberFormat="1" applyFont="1" applyFill="1" applyAlignment="1">
      <alignment horizontal="right" vertical="center"/>
    </xf>
    <xf numFmtId="0" fontId="18" fillId="3" borderId="0" xfId="12" applyFont="1" applyFill="1" applyAlignment="1">
      <alignment horizontal="left"/>
    </xf>
    <xf numFmtId="17" fontId="18" fillId="3" borderId="0" xfId="12" applyNumberFormat="1" applyFont="1" applyFill="1" applyAlignment="1">
      <alignment horizontal="left" vertical="center"/>
    </xf>
    <xf numFmtId="0" fontId="18" fillId="0" borderId="0" xfId="12" applyFont="1"/>
    <xf numFmtId="0" fontId="18" fillId="3" borderId="0" xfId="12" applyFill="1" applyAlignment="1">
      <alignment horizontal="left"/>
    </xf>
    <xf numFmtId="0" fontId="39" fillId="0" borderId="0" xfId="21" applyFont="1"/>
    <xf numFmtId="0" fontId="39" fillId="0" borderId="7" xfId="21" applyFont="1" applyBorder="1"/>
    <xf numFmtId="0" fontId="39" fillId="0" borderId="8" xfId="21" applyFont="1" applyBorder="1"/>
    <xf numFmtId="0" fontId="39" fillId="0" borderId="3" xfId="21" applyFont="1" applyBorder="1"/>
    <xf numFmtId="0" fontId="39" fillId="0" borderId="50" xfId="21" applyFont="1" applyBorder="1"/>
    <xf numFmtId="0" fontId="42" fillId="0" borderId="3" xfId="18" applyFont="1" applyBorder="1" applyAlignment="1">
      <alignment vertical="center"/>
    </xf>
    <xf numFmtId="0" fontId="44" fillId="10" borderId="4" xfId="26" applyFont="1" applyFill="1" applyBorder="1" applyAlignment="1">
      <alignment horizontal="center" vertical="center" wrapText="1"/>
    </xf>
    <xf numFmtId="0" fontId="44" fillId="10" borderId="4" xfId="26" applyFont="1" applyFill="1" applyBorder="1" applyAlignment="1">
      <alignment horizontal="left" vertical="center" wrapText="1"/>
    </xf>
    <xf numFmtId="179" fontId="44" fillId="10" borderId="4" xfId="6" applyNumberFormat="1" applyFont="1" applyFill="1" applyBorder="1" applyAlignment="1">
      <alignment horizontal="center" vertical="center" wrapText="1"/>
    </xf>
    <xf numFmtId="0" fontId="45" fillId="11" borderId="4" xfId="26" applyFont="1" applyFill="1" applyBorder="1" applyAlignment="1">
      <alignment horizontal="center" vertical="center" wrapText="1"/>
    </xf>
    <xf numFmtId="0" fontId="45" fillId="11" borderId="4" xfId="26" applyFont="1" applyFill="1" applyBorder="1" applyAlignment="1">
      <alignment horizontal="left" vertical="center" wrapText="1"/>
    </xf>
    <xf numFmtId="179" fontId="45" fillId="11" borderId="4" xfId="6" applyNumberFormat="1" applyFont="1" applyFill="1" applyBorder="1" applyAlignment="1">
      <alignment horizontal="center" vertical="center" wrapText="1"/>
    </xf>
    <xf numFmtId="44" fontId="45" fillId="4" borderId="4" xfId="9" applyFont="1" applyFill="1" applyBorder="1" applyAlignment="1">
      <alignment horizontal="center" vertical="center" wrapText="1"/>
    </xf>
    <xf numFmtId="44" fontId="45" fillId="11" borderId="4" xfId="9" applyFont="1" applyFill="1" applyBorder="1" applyAlignment="1">
      <alignment horizontal="center" vertical="center" wrapText="1"/>
    </xf>
    <xf numFmtId="180" fontId="43" fillId="13" borderId="4" xfId="9" applyNumberFormat="1" applyFont="1" applyFill="1" applyBorder="1" applyAlignment="1">
      <alignment horizontal="right" vertical="center"/>
    </xf>
    <xf numFmtId="181" fontId="45" fillId="11" borderId="4" xfId="26" applyNumberFormat="1" applyFont="1" applyFill="1" applyBorder="1" applyAlignment="1">
      <alignment horizontal="center" vertical="center" wrapText="1"/>
    </xf>
    <xf numFmtId="44" fontId="45" fillId="4" borderId="0" xfId="9" applyFont="1" applyFill="1" applyBorder="1" applyAlignment="1">
      <alignment horizontal="center" vertical="center" wrapText="1"/>
    </xf>
    <xf numFmtId="0" fontId="45" fillId="11" borderId="62" xfId="26" applyFont="1" applyFill="1" applyBorder="1" applyAlignment="1">
      <alignment horizontal="center" vertical="center" wrapText="1"/>
    </xf>
    <xf numFmtId="181" fontId="45" fillId="11" borderId="62" xfId="26" applyNumberFormat="1" applyFont="1" applyFill="1" applyBorder="1" applyAlignment="1">
      <alignment horizontal="center" vertical="center" wrapText="1"/>
    </xf>
    <xf numFmtId="0" fontId="48" fillId="0" borderId="63" xfId="0" applyFont="1" applyBorder="1" applyAlignment="1">
      <alignment horizontal="left" vertical="center"/>
    </xf>
    <xf numFmtId="0" fontId="49" fillId="0" borderId="63" xfId="0" applyFont="1" applyBorder="1" applyAlignment="1">
      <alignment horizontal="center" vertical="center"/>
    </xf>
    <xf numFmtId="0" fontId="50" fillId="7" borderId="0" xfId="0" applyFont="1" applyFill="1" applyAlignment="1">
      <alignment horizontal="left" vertical="center"/>
    </xf>
    <xf numFmtId="0" fontId="0" fillId="7" borderId="0" xfId="0" applyFill="1"/>
    <xf numFmtId="0" fontId="51" fillId="7" borderId="0" xfId="0" applyFont="1" applyFill="1" applyAlignment="1">
      <alignment horizontal="left" vertical="center"/>
    </xf>
    <xf numFmtId="0" fontId="51" fillId="7" borderId="0" xfId="0" applyFont="1" applyFill="1" applyAlignment="1">
      <alignment horizontal="right" vertical="center"/>
    </xf>
    <xf numFmtId="4" fontId="51" fillId="7" borderId="0" xfId="0" applyNumberFormat="1" applyFont="1" applyFill="1" applyAlignment="1">
      <alignment horizontal="right" vertical="center"/>
    </xf>
    <xf numFmtId="0" fontId="51" fillId="7" borderId="5" xfId="0" applyFont="1" applyFill="1" applyBorder="1" applyAlignment="1">
      <alignment horizontal="left" vertical="center" wrapText="1"/>
    </xf>
    <xf numFmtId="0" fontId="53" fillId="7" borderId="5" xfId="0" applyFont="1" applyFill="1" applyBorder="1" applyAlignment="1">
      <alignment horizontal="left" vertical="center"/>
    </xf>
    <xf numFmtId="0" fontId="53" fillId="7" borderId="5" xfId="0" applyFont="1" applyFill="1" applyBorder="1" applyAlignment="1">
      <alignment horizontal="center" vertical="center"/>
    </xf>
    <xf numFmtId="0" fontId="49" fillId="7" borderId="5" xfId="0" applyFont="1" applyFill="1" applyBorder="1" applyAlignment="1">
      <alignment horizontal="center" vertical="center"/>
    </xf>
    <xf numFmtId="0" fontId="53" fillId="7" borderId="5" xfId="0" applyFont="1" applyFill="1" applyBorder="1" applyAlignment="1">
      <alignment horizontal="right" vertical="center"/>
    </xf>
    <xf numFmtId="0" fontId="49" fillId="7" borderId="0" xfId="0" applyFont="1" applyFill="1" applyAlignment="1">
      <alignment horizontal="center" vertical="center"/>
    </xf>
    <xf numFmtId="0" fontId="49" fillId="7" borderId="0" xfId="0" applyFont="1" applyFill="1" applyAlignment="1">
      <alignment horizontal="left" vertical="center" wrapText="1"/>
    </xf>
    <xf numFmtId="182" fontId="49" fillId="7" borderId="0" xfId="0" applyNumberFormat="1" applyFont="1" applyFill="1" applyAlignment="1">
      <alignment horizontal="center" vertical="center"/>
    </xf>
    <xf numFmtId="181" fontId="49" fillId="7" borderId="0" xfId="0" applyNumberFormat="1" applyFont="1" applyFill="1" applyAlignment="1">
      <alignment horizontal="right" vertical="center"/>
    </xf>
    <xf numFmtId="0" fontId="53" fillId="7" borderId="0" xfId="0" applyFont="1" applyFill="1" applyAlignment="1">
      <alignment horizontal="right" vertical="center"/>
    </xf>
    <xf numFmtId="0" fontId="49" fillId="7" borderId="63" xfId="0" applyFont="1" applyFill="1" applyBorder="1" applyAlignment="1">
      <alignment horizontal="center" vertical="center"/>
    </xf>
    <xf numFmtId="0" fontId="50" fillId="7" borderId="0" xfId="0" applyFont="1" applyFill="1" applyAlignment="1">
      <alignment horizontal="right" vertical="center"/>
    </xf>
    <xf numFmtId="182" fontId="50" fillId="7" borderId="0" xfId="0" applyNumberFormat="1" applyFont="1" applyFill="1" applyAlignment="1">
      <alignment horizontal="left" vertical="center"/>
    </xf>
    <xf numFmtId="4" fontId="49" fillId="7" borderId="0" xfId="0" applyNumberFormat="1" applyFont="1" applyFill="1" applyAlignment="1">
      <alignment horizontal="center" vertical="center"/>
    </xf>
    <xf numFmtId="0" fontId="48" fillId="0" borderId="63" xfId="0" applyFont="1" applyBorder="1" applyAlignment="1">
      <alignment horizontal="right" vertical="center"/>
    </xf>
    <xf numFmtId="0" fontId="53" fillId="7" borderId="0" xfId="0" applyFont="1" applyFill="1" applyAlignment="1">
      <alignment horizontal="center" vertical="center"/>
    </xf>
    <xf numFmtId="181" fontId="49" fillId="7" borderId="5" xfId="0" applyNumberFormat="1" applyFont="1" applyFill="1" applyBorder="1" applyAlignment="1">
      <alignment horizontal="right" vertical="center"/>
    </xf>
    <xf numFmtId="181" fontId="53" fillId="7" borderId="5" xfId="0" applyNumberFormat="1" applyFont="1" applyFill="1" applyBorder="1" applyAlignment="1">
      <alignment horizontal="right" vertical="center"/>
    </xf>
    <xf numFmtId="181" fontId="53" fillId="7" borderId="0" xfId="0" applyNumberFormat="1" applyFont="1" applyFill="1" applyAlignment="1">
      <alignment horizontal="right" vertical="center"/>
    </xf>
    <xf numFmtId="182" fontId="53" fillId="7" borderId="0" xfId="0" applyNumberFormat="1" applyFont="1" applyFill="1" applyAlignment="1">
      <alignment horizontal="right" vertical="center"/>
    </xf>
    <xf numFmtId="183" fontId="54" fillId="14" borderId="63" xfId="2" applyNumberFormat="1" applyFont="1" applyFill="1" applyBorder="1"/>
    <xf numFmtId="183" fontId="53" fillId="14" borderId="63" xfId="2" applyNumberFormat="1" applyFont="1" applyFill="1" applyBorder="1" applyAlignment="1">
      <alignment horizontal="right" vertical="center"/>
    </xf>
    <xf numFmtId="182" fontId="51" fillId="7" borderId="0" xfId="0" applyNumberFormat="1" applyFont="1" applyFill="1" applyAlignment="1">
      <alignment horizontal="right" vertical="center"/>
    </xf>
    <xf numFmtId="0" fontId="49" fillId="0" borderId="0" xfId="0" applyFont="1" applyAlignment="1">
      <alignment horizontal="right" vertical="center"/>
    </xf>
    <xf numFmtId="0" fontId="93" fillId="3" borderId="56" xfId="25" applyFill="1" applyBorder="1" applyAlignment="1">
      <alignment vertical="center"/>
    </xf>
    <xf numFmtId="0" fontId="93" fillId="3" borderId="0" xfId="25" applyFill="1" applyAlignment="1">
      <alignment vertical="center"/>
    </xf>
    <xf numFmtId="0" fontId="93" fillId="3" borderId="0" xfId="25" applyFill="1" applyAlignment="1">
      <alignment horizontal="center" vertical="center"/>
    </xf>
    <xf numFmtId="172" fontId="55" fillId="3" borderId="0" xfId="44" applyFont="1" applyFill="1" applyBorder="1" applyAlignment="1" applyProtection="1">
      <alignment vertical="center"/>
    </xf>
    <xf numFmtId="172" fontId="55" fillId="3" borderId="57" xfId="44" applyFont="1" applyFill="1" applyBorder="1" applyAlignment="1" applyProtection="1">
      <alignment vertical="center"/>
    </xf>
    <xf numFmtId="172" fontId="55" fillId="3" borderId="0" xfId="44" applyFont="1" applyFill="1" applyBorder="1" applyAlignment="1" applyProtection="1">
      <alignment horizontal="center" vertical="center"/>
    </xf>
    <xf numFmtId="184" fontId="55" fillId="3" borderId="0" xfId="44" applyNumberFormat="1" applyFont="1" applyFill="1" applyBorder="1" applyAlignment="1" applyProtection="1">
      <alignment horizontal="center" vertical="center"/>
    </xf>
    <xf numFmtId="0" fontId="93" fillId="3" borderId="0" xfId="25" applyFill="1" applyAlignment="1">
      <alignment horizontal="left" vertical="center"/>
    </xf>
    <xf numFmtId="0" fontId="56" fillId="15" borderId="0" xfId="25" applyFont="1" applyFill="1" applyAlignment="1">
      <alignment horizontal="left" vertical="center"/>
    </xf>
    <xf numFmtId="0" fontId="56" fillId="15" borderId="0" xfId="25" applyFont="1" applyFill="1" applyAlignment="1">
      <alignment horizontal="center" vertical="center"/>
    </xf>
    <xf numFmtId="184" fontId="56" fillId="15" borderId="0" xfId="44" applyNumberFormat="1" applyFont="1" applyFill="1" applyBorder="1" applyAlignment="1" applyProtection="1">
      <alignment vertical="center"/>
    </xf>
    <xf numFmtId="10" fontId="93" fillId="3" borderId="0" xfId="25" applyNumberFormat="1" applyFill="1" applyAlignment="1">
      <alignment horizontal="center" vertical="center"/>
    </xf>
    <xf numFmtId="184" fontId="55" fillId="3" borderId="0" xfId="44" applyNumberFormat="1" applyFont="1" applyFill="1" applyBorder="1" applyAlignment="1" applyProtection="1">
      <alignment vertical="center"/>
    </xf>
    <xf numFmtId="0" fontId="56" fillId="16" borderId="0" xfId="25" applyFont="1" applyFill="1" applyBorder="1" applyAlignment="1">
      <alignment horizontal="left" vertical="center"/>
    </xf>
    <xf numFmtId="184" fontId="56" fillId="16" borderId="0" xfId="44" applyNumberFormat="1" applyFont="1" applyFill="1" applyBorder="1" applyAlignment="1" applyProtection="1">
      <alignment vertical="center"/>
    </xf>
    <xf numFmtId="0" fontId="93" fillId="3" borderId="0" xfId="25" applyFill="1" applyBorder="1" applyAlignment="1">
      <alignment vertical="center"/>
    </xf>
    <xf numFmtId="0" fontId="34" fillId="0" borderId="0" xfId="16" applyFont="1" applyAlignment="1">
      <alignment vertical="center"/>
    </xf>
    <xf numFmtId="0" fontId="58" fillId="0" borderId="0" xfId="16" applyFont="1" applyAlignment="1">
      <alignment vertical="center"/>
    </xf>
    <xf numFmtId="0" fontId="59" fillId="0" borderId="0" xfId="16" applyFont="1" applyAlignment="1">
      <alignment vertical="center"/>
    </xf>
    <xf numFmtId="0" fontId="7" fillId="0" borderId="0" xfId="16" applyFont="1" applyAlignment="1">
      <alignment horizontal="center" vertical="center" wrapText="1"/>
    </xf>
    <xf numFmtId="0" fontId="37" fillId="0" borderId="0" xfId="16" applyFont="1" applyAlignment="1">
      <alignment horizontal="center" vertical="center"/>
    </xf>
    <xf numFmtId="0" fontId="36" fillId="2" borderId="20" xfId="16" applyFont="1" applyFill="1" applyBorder="1" applyAlignment="1">
      <alignment horizontal="center" vertical="center"/>
    </xf>
    <xf numFmtId="0" fontId="36" fillId="2" borderId="64" xfId="16" applyFont="1" applyFill="1" applyBorder="1" applyAlignment="1">
      <alignment horizontal="center" vertical="center" wrapText="1"/>
    </xf>
    <xf numFmtId="0" fontId="60" fillId="2" borderId="64" xfId="16" applyFont="1" applyFill="1" applyBorder="1" applyAlignment="1">
      <alignment horizontal="center" vertical="center"/>
    </xf>
    <xf numFmtId="185" fontId="60" fillId="2" borderId="64" xfId="16" applyNumberFormat="1" applyFont="1" applyFill="1" applyBorder="1" applyAlignment="1">
      <alignment horizontal="center" vertical="center"/>
    </xf>
    <xf numFmtId="44" fontId="6" fillId="0" borderId="25" xfId="16" applyNumberFormat="1" applyFont="1" applyFill="1" applyBorder="1" applyAlignment="1">
      <alignment horizontal="center" vertical="center" wrapText="1"/>
    </xf>
    <xf numFmtId="44" fontId="37" fillId="0" borderId="25" xfId="9" applyFont="1" applyFill="1" applyBorder="1" applyAlignment="1">
      <alignment horizontal="center" vertical="center"/>
    </xf>
    <xf numFmtId="0" fontId="6" fillId="0" borderId="25" xfId="16" applyFont="1" applyFill="1" applyBorder="1" applyAlignment="1">
      <alignment horizontal="center" vertical="center" wrapText="1"/>
    </xf>
    <xf numFmtId="10" fontId="37" fillId="0" borderId="25" xfId="31" applyNumberFormat="1" applyFont="1" applyFill="1" applyBorder="1" applyAlignment="1">
      <alignment horizontal="center" vertical="center"/>
    </xf>
    <xf numFmtId="44" fontId="6" fillId="5" borderId="25" xfId="16" applyNumberFormat="1" applyFont="1" applyFill="1" applyBorder="1" applyAlignment="1">
      <alignment horizontal="center" vertical="center" wrapText="1"/>
    </xf>
    <xf numFmtId="44" fontId="37" fillId="5" borderId="25" xfId="9" applyFont="1" applyFill="1" applyBorder="1" applyAlignment="1">
      <alignment horizontal="center" vertical="center"/>
    </xf>
    <xf numFmtId="0" fontId="6" fillId="5" borderId="25" xfId="16" applyFont="1" applyFill="1" applyBorder="1" applyAlignment="1">
      <alignment horizontal="center" vertical="center" wrapText="1"/>
    </xf>
    <xf numFmtId="10" fontId="37" fillId="5" borderId="25" xfId="31" applyNumberFormat="1" applyFont="1" applyFill="1" applyBorder="1" applyAlignment="1">
      <alignment horizontal="center" vertical="center"/>
    </xf>
    <xf numFmtId="0" fontId="6" fillId="5" borderId="65" xfId="16" applyFont="1" applyFill="1" applyBorder="1" applyAlignment="1">
      <alignment horizontal="center" vertical="center" wrapText="1"/>
    </xf>
    <xf numFmtId="10" fontId="37" fillId="5" borderId="65" xfId="31" applyNumberFormat="1" applyFont="1" applyFill="1" applyBorder="1" applyAlignment="1">
      <alignment horizontal="center" vertical="center"/>
    </xf>
    <xf numFmtId="0" fontId="8" fillId="0" borderId="0" xfId="16" applyFont="1" applyAlignment="1">
      <alignment horizontal="center" vertical="center"/>
    </xf>
    <xf numFmtId="43" fontId="8" fillId="0" borderId="0" xfId="41" applyFont="1" applyAlignment="1">
      <alignment horizontal="center" vertical="center"/>
    </xf>
    <xf numFmtId="44" fontId="6" fillId="3" borderId="25" xfId="16" applyNumberFormat="1" applyFont="1" applyFill="1" applyBorder="1" applyAlignment="1">
      <alignment horizontal="center" vertical="center" wrapText="1"/>
    </xf>
    <xf numFmtId="0" fontId="18" fillId="0" borderId="0" xfId="16" applyFont="1" applyAlignment="1">
      <alignment vertical="center"/>
    </xf>
    <xf numFmtId="0" fontId="34" fillId="0" borderId="0" xfId="16" applyFont="1" applyAlignment="1">
      <alignment horizontal="center" vertical="center"/>
    </xf>
    <xf numFmtId="0" fontId="5" fillId="2" borderId="4" xfId="16" applyFont="1" applyFill="1" applyBorder="1" applyAlignment="1">
      <alignment horizontal="right" vertical="center"/>
    </xf>
    <xf numFmtId="44" fontId="7" fillId="17" borderId="4" xfId="16" applyNumberFormat="1" applyFont="1" applyFill="1" applyBorder="1" applyAlignment="1">
      <alignment horizontal="center" vertical="center"/>
    </xf>
    <xf numFmtId="44" fontId="18" fillId="0" borderId="4" xfId="16" applyNumberFormat="1" applyFont="1" applyFill="1" applyBorder="1" applyAlignment="1">
      <alignment horizontal="center" vertical="center"/>
    </xf>
    <xf numFmtId="0" fontId="18" fillId="0" borderId="0" xfId="16" applyAlignment="1">
      <alignment vertical="center"/>
    </xf>
    <xf numFmtId="0" fontId="7" fillId="0" borderId="4" xfId="16" applyFont="1" applyBorder="1" applyAlignment="1">
      <alignment horizontal="right" vertical="center"/>
    </xf>
    <xf numFmtId="44" fontId="7" fillId="0" borderId="4" xfId="16" applyNumberFormat="1" applyFont="1" applyBorder="1" applyAlignment="1">
      <alignment horizontal="center" vertical="center"/>
    </xf>
    <xf numFmtId="0" fontId="61" fillId="0" borderId="0" xfId="0" applyFont="1" applyAlignment="1">
      <alignment horizontal="right"/>
    </xf>
    <xf numFmtId="44" fontId="61" fillId="0" borderId="0" xfId="0" applyNumberFormat="1" applyFont="1"/>
    <xf numFmtId="10" fontId="61" fillId="0" borderId="0" xfId="3" applyNumberFormat="1" applyFont="1" applyAlignment="1">
      <alignment horizontal="center"/>
    </xf>
    <xf numFmtId="0" fontId="60" fillId="2" borderId="52" xfId="16" applyFont="1" applyFill="1" applyBorder="1" applyAlignment="1">
      <alignment horizontal="center" vertical="center"/>
    </xf>
    <xf numFmtId="44" fontId="6" fillId="0" borderId="26" xfId="9" applyFont="1" applyFill="1" applyBorder="1" applyAlignment="1">
      <alignment horizontal="center" vertical="center"/>
    </xf>
    <xf numFmtId="44" fontId="34" fillId="0" borderId="0" xfId="16" applyNumberFormat="1" applyFont="1" applyAlignment="1">
      <alignment vertical="center"/>
    </xf>
    <xf numFmtId="10" fontId="6" fillId="0" borderId="26" xfId="31" applyNumberFormat="1" applyFont="1" applyFill="1" applyBorder="1" applyAlignment="1">
      <alignment horizontal="center" vertical="center"/>
    </xf>
    <xf numFmtId="44" fontId="6" fillId="5" borderId="26" xfId="9" applyFont="1" applyFill="1" applyBorder="1" applyAlignment="1">
      <alignment horizontal="center" vertical="center"/>
    </xf>
    <xf numFmtId="10" fontId="6" fillId="5" borderId="26" xfId="31" applyNumberFormat="1" applyFont="1" applyFill="1" applyBorder="1" applyAlignment="1">
      <alignment horizontal="center" vertical="center"/>
    </xf>
    <xf numFmtId="10" fontId="6" fillId="5" borderId="30" xfId="31" applyNumberFormat="1" applyFont="1" applyFill="1" applyBorder="1" applyAlignment="1">
      <alignment horizontal="center" vertical="center"/>
    </xf>
    <xf numFmtId="43" fontId="7" fillId="0" borderId="4" xfId="41" applyFont="1" applyFill="1" applyBorder="1" applyAlignment="1">
      <alignment horizontal="center" vertical="center"/>
    </xf>
    <xf numFmtId="44" fontId="7" fillId="0" borderId="4" xfId="9" applyFont="1" applyFill="1" applyBorder="1" applyAlignment="1">
      <alignment horizontal="center" vertical="center"/>
    </xf>
    <xf numFmtId="43" fontId="34" fillId="0" borderId="0" xfId="1" applyNumberFormat="1" applyFont="1" applyAlignment="1">
      <alignment vertical="center"/>
    </xf>
    <xf numFmtId="44" fontId="18" fillId="0" borderId="0" xfId="16" applyNumberFormat="1" applyFont="1" applyAlignment="1">
      <alignment vertical="center"/>
    </xf>
    <xf numFmtId="0" fontId="62" fillId="0" borderId="0" xfId="0" applyFont="1" applyAlignment="1">
      <alignment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vertical="center"/>
    </xf>
    <xf numFmtId="0" fontId="56" fillId="0" borderId="0" xfId="0" applyFont="1"/>
    <xf numFmtId="0" fontId="62" fillId="0" borderId="0" xfId="0" applyFont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3" fillId="18" borderId="4" xfId="0" applyFont="1" applyFill="1" applyBorder="1" applyAlignment="1">
      <alignment horizontal="center" vertical="center" wrapText="1"/>
    </xf>
    <xf numFmtId="0" fontId="64" fillId="19" borderId="4" xfId="0" applyFont="1" applyFill="1" applyBorder="1" applyAlignment="1">
      <alignment horizontal="center" vertical="center"/>
    </xf>
    <xf numFmtId="0" fontId="64" fillId="19" borderId="4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vertical="center" wrapText="1"/>
    </xf>
    <xf numFmtId="9" fontId="43" fillId="0" borderId="4" xfId="3" applyFont="1" applyFill="1" applyBorder="1" applyAlignment="1">
      <alignment horizontal="center" vertical="center"/>
    </xf>
    <xf numFmtId="9" fontId="43" fillId="0" borderId="4" xfId="3" applyFont="1" applyFill="1" applyBorder="1" applyAlignment="1">
      <alignment horizontal="left" vertical="center" wrapText="1"/>
    </xf>
    <xf numFmtId="2" fontId="43" fillId="0" borderId="4" xfId="0" applyNumberFormat="1" applyFont="1" applyFill="1" applyBorder="1" applyAlignment="1">
      <alignment horizontal="center" vertical="center"/>
    </xf>
    <xf numFmtId="186" fontId="43" fillId="0" borderId="4" xfId="0" applyNumberFormat="1" applyFont="1" applyFill="1" applyBorder="1" applyAlignment="1">
      <alignment horizontal="left" vertical="center" wrapText="1"/>
    </xf>
    <xf numFmtId="0" fontId="64" fillId="19" borderId="4" xfId="0" applyFont="1" applyFill="1" applyBorder="1" applyAlignment="1">
      <alignment horizontal="left" vertical="center" wrapText="1"/>
    </xf>
    <xf numFmtId="49" fontId="43" fillId="0" borderId="4" xfId="0" applyNumberFormat="1" applyFont="1" applyFill="1" applyBorder="1" applyAlignment="1">
      <alignment horizontal="center" vertical="center"/>
    </xf>
    <xf numFmtId="0" fontId="62" fillId="3" borderId="0" xfId="0" applyFont="1" applyFill="1" applyAlignment="1">
      <alignment vertical="center"/>
    </xf>
    <xf numFmtId="0" fontId="63" fillId="3" borderId="0" xfId="0" applyFont="1" applyFill="1" applyAlignment="1">
      <alignment vertical="center"/>
    </xf>
    <xf numFmtId="0" fontId="65" fillId="3" borderId="0" xfId="0" applyFont="1" applyFill="1" applyAlignment="1">
      <alignment vertical="center"/>
    </xf>
    <xf numFmtId="0" fontId="64" fillId="3" borderId="0" xfId="0" applyFont="1" applyFill="1" applyAlignment="1">
      <alignment vertical="center"/>
    </xf>
    <xf numFmtId="0" fontId="69" fillId="3" borderId="0" xfId="0" applyFont="1" applyFill="1"/>
    <xf numFmtId="0" fontId="65" fillId="3" borderId="0" xfId="0" applyFont="1" applyFill="1" applyAlignment="1">
      <alignment horizontal="center" vertical="center"/>
    </xf>
    <xf numFmtId="0" fontId="65" fillId="3" borderId="0" xfId="0" applyFont="1" applyFill="1" applyAlignment="1">
      <alignment horizontal="right" vertical="center"/>
    </xf>
    <xf numFmtId="0" fontId="56" fillId="3" borderId="0" xfId="0" applyFont="1" applyFill="1"/>
    <xf numFmtId="0" fontId="62" fillId="3" borderId="0" xfId="0" applyFont="1" applyFill="1" applyAlignment="1">
      <alignment horizontal="center" vertical="center"/>
    </xf>
    <xf numFmtId="0" fontId="62" fillId="3" borderId="0" xfId="0" applyFont="1" applyFill="1" applyBorder="1" applyAlignment="1">
      <alignment horizontal="center" vertical="center"/>
    </xf>
    <xf numFmtId="0" fontId="62" fillId="3" borderId="0" xfId="0" applyFont="1" applyFill="1" applyAlignment="1">
      <alignment horizontal="right" vertical="center"/>
    </xf>
    <xf numFmtId="0" fontId="62" fillId="3" borderId="0" xfId="0" applyFont="1" applyFill="1" applyBorder="1" applyAlignment="1">
      <alignment vertical="center"/>
    </xf>
    <xf numFmtId="0" fontId="62" fillId="3" borderId="0" xfId="0" applyFont="1" applyFill="1" applyBorder="1" applyAlignment="1">
      <alignment horizontal="right" vertical="center"/>
    </xf>
    <xf numFmtId="0" fontId="63" fillId="18" borderId="6" xfId="0" applyFont="1" applyFill="1" applyBorder="1" applyAlignment="1">
      <alignment horizontal="center" vertical="center" wrapText="1"/>
    </xf>
    <xf numFmtId="0" fontId="62" fillId="19" borderId="6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center" vertical="center"/>
    </xf>
    <xf numFmtId="0" fontId="62" fillId="19" borderId="4" xfId="0" applyFont="1" applyFill="1" applyBorder="1" applyAlignment="1">
      <alignment horizontal="right" vertical="center"/>
    </xf>
    <xf numFmtId="0" fontId="43" fillId="0" borderId="6" xfId="0" applyFont="1" applyFill="1" applyBorder="1" applyAlignment="1">
      <alignment horizontal="center" vertical="center"/>
    </xf>
    <xf numFmtId="183" fontId="43" fillId="0" borderId="4" xfId="0" applyNumberFormat="1" applyFont="1" applyFill="1" applyBorder="1" applyAlignment="1">
      <alignment horizontal="center" vertical="center"/>
    </xf>
    <xf numFmtId="164" fontId="43" fillId="0" borderId="4" xfId="2" applyFont="1" applyFill="1" applyBorder="1" applyAlignment="1" applyProtection="1">
      <alignment horizontal="right" vertical="center"/>
    </xf>
    <xf numFmtId="164" fontId="63" fillId="18" borderId="59" xfId="0" applyNumberFormat="1" applyFont="1" applyFill="1" applyBorder="1" applyAlignment="1">
      <alignment horizontal="right" vertical="center"/>
    </xf>
    <xf numFmtId="0" fontId="65" fillId="0" borderId="0" xfId="0" applyFont="1" applyAlignment="1">
      <alignment vertical="center" wrapText="1"/>
    </xf>
    <xf numFmtId="2" fontId="65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right" vertical="center"/>
    </xf>
    <xf numFmtId="0" fontId="62" fillId="19" borderId="56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left" vertical="center"/>
    </xf>
    <xf numFmtId="164" fontId="63" fillId="18" borderId="4" xfId="0" applyNumberFormat="1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164" fontId="73" fillId="21" borderId="4" xfId="0" applyNumberFormat="1" applyFont="1" applyFill="1" applyBorder="1" applyAlignment="1">
      <alignment horizontal="right" vertical="center"/>
    </xf>
    <xf numFmtId="187" fontId="64" fillId="3" borderId="0" xfId="0" applyNumberFormat="1" applyFont="1" applyFill="1" applyBorder="1" applyAlignment="1">
      <alignment horizontal="right" vertical="center"/>
    </xf>
    <xf numFmtId="187" fontId="62" fillId="3" borderId="0" xfId="0" applyNumberFormat="1" applyFont="1" applyFill="1" applyAlignment="1">
      <alignment horizontal="right" vertical="center"/>
    </xf>
    <xf numFmtId="0" fontId="74" fillId="3" borderId="1" xfId="0" applyFont="1" applyFill="1" applyBorder="1" applyAlignment="1">
      <alignment vertical="center"/>
    </xf>
    <xf numFmtId="10" fontId="68" fillId="3" borderId="4" xfId="0" applyNumberFormat="1" applyFont="1" applyFill="1" applyBorder="1" applyAlignment="1">
      <alignment horizontal="center" vertical="center"/>
    </xf>
    <xf numFmtId="183" fontId="43" fillId="0" borderId="4" xfId="2" applyNumberFormat="1" applyFont="1" applyFill="1" applyBorder="1" applyAlignment="1" applyProtection="1">
      <alignment horizontal="right" vertical="center"/>
    </xf>
    <xf numFmtId="188" fontId="43" fillId="0" borderId="4" xfId="3" applyNumberFormat="1" applyFont="1" applyFill="1" applyBorder="1" applyAlignment="1" applyProtection="1">
      <alignment horizontal="center" vertical="center"/>
    </xf>
    <xf numFmtId="189" fontId="63" fillId="18" borderId="41" xfId="0" applyNumberFormat="1" applyFont="1" applyFill="1" applyBorder="1" applyAlignment="1">
      <alignment horizontal="right" vertical="center"/>
    </xf>
    <xf numFmtId="190" fontId="75" fillId="22" borderId="41" xfId="3" applyNumberFormat="1" applyFont="1" applyFill="1" applyBorder="1" applyAlignment="1" applyProtection="1">
      <alignment horizontal="center" vertical="center"/>
    </xf>
    <xf numFmtId="0" fontId="65" fillId="0" borderId="35" xfId="0" applyFont="1" applyBorder="1" applyAlignment="1">
      <alignment horizontal="center" vertical="center"/>
    </xf>
    <xf numFmtId="189" fontId="63" fillId="18" borderId="4" xfId="0" applyNumberFormat="1" applyFont="1" applyFill="1" applyBorder="1" applyAlignment="1">
      <alignment horizontal="right" vertical="center"/>
    </xf>
    <xf numFmtId="188" fontId="75" fillId="22" borderId="4" xfId="3" applyNumberFormat="1" applyFont="1" applyFill="1" applyBorder="1" applyAlignment="1" applyProtection="1">
      <alignment horizontal="center" vertical="center"/>
    </xf>
    <xf numFmtId="0" fontId="62" fillId="0" borderId="57" xfId="0" applyFont="1" applyBorder="1" applyAlignment="1">
      <alignment horizontal="center" vertical="center"/>
    </xf>
    <xf numFmtId="164" fontId="64" fillId="0" borderId="4" xfId="0" applyNumberFormat="1" applyFont="1" applyFill="1" applyBorder="1" applyAlignment="1">
      <alignment horizontal="right" vertical="center"/>
    </xf>
    <xf numFmtId="191" fontId="64" fillId="0" borderId="4" xfId="0" applyNumberFormat="1" applyFont="1" applyFill="1" applyBorder="1" applyAlignment="1">
      <alignment horizontal="right" vertical="center"/>
    </xf>
    <xf numFmtId="188" fontId="64" fillId="0" borderId="4" xfId="3" applyNumberFormat="1" applyFont="1" applyFill="1" applyBorder="1" applyAlignment="1" applyProtection="1">
      <alignment horizontal="center" vertical="center"/>
    </xf>
    <xf numFmtId="192" fontId="64" fillId="3" borderId="0" xfId="0" applyNumberFormat="1" applyFont="1" applyFill="1" applyBorder="1" applyAlignment="1">
      <alignment horizontal="right" vertical="center"/>
    </xf>
    <xf numFmtId="192" fontId="62" fillId="3" borderId="0" xfId="0" applyNumberFormat="1" applyFont="1" applyFill="1" applyAlignment="1">
      <alignment horizontal="right" vertical="center"/>
    </xf>
    <xf numFmtId="192" fontId="65" fillId="3" borderId="0" xfId="0" applyNumberFormat="1" applyFont="1" applyFill="1" applyAlignment="1">
      <alignment horizontal="right" vertical="center"/>
    </xf>
    <xf numFmtId="193" fontId="65" fillId="3" borderId="0" xfId="0" applyNumberFormat="1" applyFont="1" applyFill="1" applyAlignment="1">
      <alignment horizontal="right" vertical="center"/>
    </xf>
    <xf numFmtId="194" fontId="65" fillId="3" borderId="0" xfId="0" applyNumberFormat="1" applyFont="1" applyFill="1" applyAlignment="1">
      <alignment horizontal="right" vertical="center"/>
    </xf>
    <xf numFmtId="195" fontId="65" fillId="3" borderId="0" xfId="0" applyNumberFormat="1" applyFont="1" applyFill="1" applyAlignment="1">
      <alignment horizontal="right" vertical="center"/>
    </xf>
    <xf numFmtId="0" fontId="43" fillId="3" borderId="0" xfId="0" applyFont="1" applyFill="1" applyAlignment="1">
      <alignment vertical="center"/>
    </xf>
    <xf numFmtId="0" fontId="72" fillId="3" borderId="0" xfId="0" applyFont="1" applyFill="1" applyAlignment="1">
      <alignment vertical="center"/>
    </xf>
    <xf numFmtId="10" fontId="76" fillId="0" borderId="4" xfId="3" applyNumberFormat="1" applyFont="1" applyFill="1" applyBorder="1" applyAlignment="1">
      <alignment horizontal="center" vertical="center"/>
    </xf>
    <xf numFmtId="9" fontId="76" fillId="0" borderId="4" xfId="3" applyFont="1" applyFill="1" applyBorder="1" applyAlignment="1">
      <alignment horizontal="center" vertical="center"/>
    </xf>
    <xf numFmtId="0" fontId="74" fillId="3" borderId="1" xfId="0" applyFont="1" applyFill="1" applyBorder="1" applyAlignment="1">
      <alignment horizontal="right" vertical="center"/>
    </xf>
    <xf numFmtId="10" fontId="43" fillId="0" borderId="4" xfId="3" applyNumberFormat="1" applyFont="1" applyFill="1" applyBorder="1" applyAlignment="1" applyProtection="1">
      <alignment horizontal="center" vertical="center"/>
    </xf>
    <xf numFmtId="196" fontId="62" fillId="3" borderId="0" xfId="0" applyNumberFormat="1" applyFont="1" applyFill="1" applyAlignment="1">
      <alignment vertical="center"/>
    </xf>
    <xf numFmtId="183" fontId="63" fillId="18" borderId="41" xfId="0" applyNumberFormat="1" applyFont="1" applyFill="1" applyBorder="1" applyAlignment="1">
      <alignment horizontal="right" vertical="center"/>
    </xf>
    <xf numFmtId="10" fontId="75" fillId="22" borderId="41" xfId="3" applyNumberFormat="1" applyFont="1" applyFill="1" applyBorder="1" applyAlignment="1" applyProtection="1">
      <alignment horizontal="center" vertical="center"/>
    </xf>
    <xf numFmtId="189" fontId="43" fillId="0" borderId="4" xfId="2" applyNumberFormat="1" applyFont="1" applyFill="1" applyBorder="1" applyAlignment="1" applyProtection="1">
      <alignment horizontal="right" vertical="center"/>
    </xf>
    <xf numFmtId="183" fontId="75" fillId="22" borderId="4" xfId="2" applyNumberFormat="1" applyFont="1" applyFill="1" applyBorder="1" applyAlignment="1" applyProtection="1">
      <alignment horizontal="right" vertical="center"/>
    </xf>
    <xf numFmtId="10" fontId="75" fillId="22" borderId="4" xfId="3" applyNumberFormat="1" applyFont="1" applyFill="1" applyBorder="1" applyAlignment="1" applyProtection="1">
      <alignment horizontal="center" vertical="center"/>
    </xf>
    <xf numFmtId="164" fontId="77" fillId="21" borderId="4" xfId="0" applyNumberFormat="1" applyFont="1" applyFill="1" applyBorder="1" applyAlignment="1">
      <alignment horizontal="right" vertical="center"/>
    </xf>
    <xf numFmtId="164" fontId="78" fillId="0" borderId="4" xfId="0" applyNumberFormat="1" applyFont="1" applyFill="1" applyBorder="1" applyAlignment="1">
      <alignment horizontal="right" vertical="center"/>
    </xf>
    <xf numFmtId="183" fontId="78" fillId="0" borderId="4" xfId="0" applyNumberFormat="1" applyFont="1" applyFill="1" applyBorder="1" applyAlignment="1">
      <alignment horizontal="right" vertical="center"/>
    </xf>
    <xf numFmtId="10" fontId="78" fillId="0" borderId="4" xfId="3" applyNumberFormat="1" applyFont="1" applyFill="1" applyBorder="1" applyAlignment="1" applyProtection="1">
      <alignment horizontal="center" vertical="center"/>
    </xf>
    <xf numFmtId="164" fontId="65" fillId="3" borderId="0" xfId="0" applyNumberFormat="1" applyFont="1" applyFill="1" applyAlignment="1">
      <alignment horizontal="right" vertical="center"/>
    </xf>
    <xf numFmtId="183" fontId="65" fillId="3" borderId="0" xfId="0" applyNumberFormat="1" applyFont="1" applyFill="1" applyAlignment="1">
      <alignment horizontal="right" vertical="center"/>
    </xf>
    <xf numFmtId="197" fontId="65" fillId="3" borderId="0" xfId="0" applyNumberFormat="1" applyFont="1" applyFill="1" applyAlignment="1">
      <alignment horizontal="right" vertical="center"/>
    </xf>
    <xf numFmtId="198" fontId="65" fillId="3" borderId="0" xfId="0" applyNumberFormat="1" applyFont="1" applyFill="1" applyAlignment="1">
      <alignment horizontal="right" vertical="center"/>
    </xf>
    <xf numFmtId="199" fontId="65" fillId="3" borderId="0" xfId="0" applyNumberFormat="1" applyFont="1" applyFill="1" applyAlignment="1">
      <alignment horizontal="right" vertical="center"/>
    </xf>
    <xf numFmtId="196" fontId="43" fillId="3" borderId="0" xfId="0" applyNumberFormat="1" applyFont="1" applyFill="1" applyAlignment="1">
      <alignment vertical="center"/>
    </xf>
    <xf numFmtId="0" fontId="0" fillId="0" borderId="0" xfId="0" applyAlignment="1">
      <alignment wrapText="1"/>
    </xf>
    <xf numFmtId="0" fontId="39" fillId="3" borderId="7" xfId="0" applyFont="1" applyFill="1" applyBorder="1" applyAlignment="1"/>
    <xf numFmtId="0" fontId="79" fillId="3" borderId="8" xfId="0" applyFont="1" applyFill="1" applyBorder="1" applyAlignment="1">
      <alignment vertical="center"/>
    </xf>
    <xf numFmtId="0" fontId="39" fillId="3" borderId="8" xfId="0" applyFont="1" applyFill="1" applyBorder="1" applyAlignment="1">
      <alignment vertical="center"/>
    </xf>
    <xf numFmtId="169" fontId="79" fillId="3" borderId="8" xfId="1" applyNumberFormat="1" applyFont="1" applyFill="1" applyBorder="1" applyAlignment="1">
      <alignment vertical="center"/>
    </xf>
    <xf numFmtId="44" fontId="79" fillId="3" borderId="8" xfId="0" applyNumberFormat="1" applyFont="1" applyFill="1" applyBorder="1" applyAlignment="1">
      <alignment vertical="center"/>
    </xf>
    <xf numFmtId="0" fontId="39" fillId="3" borderId="3" xfId="0" applyFont="1" applyFill="1" applyBorder="1" applyAlignment="1"/>
    <xf numFmtId="0" fontId="79" fillId="3" borderId="0" xfId="0" applyFont="1" applyFill="1" applyBorder="1" applyAlignment="1">
      <alignment vertical="center"/>
    </xf>
    <xf numFmtId="0" fontId="39" fillId="3" borderId="0" xfId="0" applyFont="1" applyFill="1" applyBorder="1" applyAlignment="1">
      <alignment vertical="center"/>
    </xf>
    <xf numFmtId="169" fontId="79" fillId="3" borderId="0" xfId="1" applyNumberFormat="1" applyFont="1" applyFill="1" applyBorder="1" applyAlignment="1">
      <alignment vertical="center"/>
    </xf>
    <xf numFmtId="44" fontId="79" fillId="3" borderId="0" xfId="0" applyNumberFormat="1" applyFont="1" applyFill="1" applyBorder="1" applyAlignment="1">
      <alignment vertical="center"/>
    </xf>
    <xf numFmtId="0" fontId="80" fillId="3" borderId="0" xfId="0" applyFont="1" applyFill="1" applyBorder="1" applyAlignment="1">
      <alignment vertical="center"/>
    </xf>
    <xf numFmtId="0" fontId="43" fillId="3" borderId="3" xfId="0" applyFont="1" applyFill="1" applyBorder="1" applyAlignment="1">
      <alignment horizontal="center" vertical="center"/>
    </xf>
    <xf numFmtId="0" fontId="43" fillId="3" borderId="0" xfId="0" applyFont="1" applyFill="1" applyBorder="1" applyAlignment="1">
      <alignment horizontal="center" vertical="center"/>
    </xf>
    <xf numFmtId="169" fontId="79" fillId="3" borderId="0" xfId="1" applyNumberFormat="1" applyFont="1" applyFill="1" applyBorder="1" applyAlignment="1">
      <alignment horizontal="center" vertical="center"/>
    </xf>
    <xf numFmtId="165" fontId="79" fillId="3" borderId="0" xfId="2" applyNumberFormat="1" applyFont="1" applyFill="1" applyBorder="1" applyAlignment="1">
      <alignment horizontal="right" vertical="center"/>
    </xf>
    <xf numFmtId="44" fontId="79" fillId="3" borderId="0" xfId="2" applyNumberFormat="1" applyFont="1" applyFill="1" applyBorder="1" applyAlignment="1">
      <alignment horizontal="right" vertical="center"/>
    </xf>
    <xf numFmtId="0" fontId="43" fillId="3" borderId="3" xfId="0" applyFont="1" applyFill="1" applyBorder="1" applyAlignment="1">
      <alignment vertical="center" wrapText="1"/>
    </xf>
    <xf numFmtId="0" fontId="43" fillId="3" borderId="0" xfId="0" applyFont="1" applyFill="1" applyBorder="1" applyAlignment="1">
      <alignment vertical="center" wrapText="1"/>
    </xf>
    <xf numFmtId="0" fontId="43" fillId="3" borderId="0" xfId="0" applyFont="1" applyFill="1" applyBorder="1" applyAlignment="1">
      <alignment vertical="center"/>
    </xf>
    <xf numFmtId="44" fontId="43" fillId="3" borderId="0" xfId="0" applyNumberFormat="1" applyFont="1" applyFill="1" applyBorder="1" applyAlignment="1">
      <alignment vertical="center" wrapText="1"/>
    </xf>
    <xf numFmtId="0" fontId="76" fillId="3" borderId="3" xfId="0" applyFont="1" applyFill="1" applyBorder="1" applyAlignment="1">
      <alignment vertical="center" wrapText="1"/>
    </xf>
    <xf numFmtId="0" fontId="76" fillId="3" borderId="0" xfId="0" applyFont="1" applyFill="1" applyBorder="1" applyAlignment="1">
      <alignment vertical="center" wrapText="1"/>
    </xf>
    <xf numFmtId="0" fontId="76" fillId="3" borderId="0" xfId="0" applyFont="1" applyFill="1" applyBorder="1" applyAlignment="1">
      <alignment vertical="center"/>
    </xf>
    <xf numFmtId="44" fontId="82" fillId="3" borderId="0" xfId="0" applyNumberFormat="1" applyFont="1" applyFill="1" applyBorder="1" applyAlignment="1">
      <alignment vertical="center" wrapText="1"/>
    </xf>
    <xf numFmtId="0" fontId="39" fillId="3" borderId="3" xfId="0" applyFont="1" applyFill="1" applyBorder="1" applyAlignment="1">
      <alignment vertical="top"/>
    </xf>
    <xf numFmtId="0" fontId="76" fillId="24" borderId="25" xfId="0" applyFont="1" applyFill="1" applyBorder="1" applyAlignment="1">
      <alignment vertical="top" wrapText="1"/>
    </xf>
    <xf numFmtId="4" fontId="76" fillId="24" borderId="25" xfId="0" applyNumberFormat="1" applyFont="1" applyFill="1" applyBorder="1" applyAlignment="1">
      <alignment vertical="top" wrapText="1"/>
    </xf>
    <xf numFmtId="44" fontId="76" fillId="24" borderId="25" xfId="0" applyNumberFormat="1" applyFont="1" applyFill="1" applyBorder="1" applyAlignment="1">
      <alignment vertical="top" wrapText="1"/>
    </xf>
    <xf numFmtId="0" fontId="83" fillId="3" borderId="25" xfId="0" applyFont="1" applyFill="1" applyBorder="1" applyAlignment="1">
      <alignment horizontal="center" vertical="center" wrapText="1"/>
    </xf>
    <xf numFmtId="0" fontId="83" fillId="0" borderId="25" xfId="0" applyFont="1" applyFill="1" applyBorder="1" applyAlignment="1">
      <alignment horizontal="center" vertical="center"/>
    </xf>
    <xf numFmtId="4" fontId="83" fillId="3" borderId="25" xfId="0" applyNumberFormat="1" applyFont="1" applyFill="1" applyBorder="1" applyAlignment="1">
      <alignment vertical="center" wrapText="1"/>
    </xf>
    <xf numFmtId="200" fontId="84" fillId="3" borderId="25" xfId="0" applyNumberFormat="1" applyFont="1" applyFill="1" applyBorder="1" applyAlignment="1">
      <alignment vertical="center" wrapText="1"/>
    </xf>
    <xf numFmtId="164" fontId="85" fillId="0" borderId="25" xfId="2" applyFont="1" applyFill="1" applyBorder="1" applyAlignment="1">
      <alignment vertical="center"/>
    </xf>
    <xf numFmtId="0" fontId="82" fillId="3" borderId="3" xfId="0" applyFont="1" applyFill="1" applyBorder="1" applyAlignment="1">
      <alignment vertical="center" wrapText="1"/>
    </xf>
    <xf numFmtId="0" fontId="82" fillId="3" borderId="47" xfId="0" applyFont="1" applyFill="1" applyBorder="1" applyAlignment="1">
      <alignment vertical="center" wrapText="1"/>
    </xf>
    <xf numFmtId="168" fontId="87" fillId="3" borderId="5" xfId="27" applyFont="1" applyFill="1" applyBorder="1" applyAlignment="1">
      <alignment vertical="center"/>
    </xf>
    <xf numFmtId="0" fontId="79" fillId="3" borderId="5" xfId="28" applyFont="1" applyFill="1" applyBorder="1" applyAlignment="1">
      <alignment vertical="center"/>
    </xf>
    <xf numFmtId="4" fontId="82" fillId="3" borderId="5" xfId="0" applyNumberFormat="1" applyFont="1" applyFill="1" applyBorder="1" applyAlignment="1">
      <alignment vertical="center" wrapText="1"/>
    </xf>
    <xf numFmtId="201" fontId="76" fillId="3" borderId="5" xfId="0" applyNumberFormat="1" applyFont="1" applyFill="1" applyBorder="1" applyAlignment="1">
      <alignment vertical="center" wrapText="1"/>
    </xf>
    <xf numFmtId="44" fontId="82" fillId="3" borderId="5" xfId="0" applyNumberFormat="1" applyFont="1" applyFill="1" applyBorder="1" applyAlignment="1">
      <alignment vertical="center" wrapText="1"/>
    </xf>
    <xf numFmtId="202" fontId="79" fillId="3" borderId="46" xfId="0" applyNumberFormat="1" applyFont="1" applyFill="1" applyBorder="1" applyAlignment="1">
      <alignment vertical="center"/>
    </xf>
    <xf numFmtId="202" fontId="79" fillId="3" borderId="50" xfId="0" applyNumberFormat="1" applyFont="1" applyFill="1" applyBorder="1" applyAlignment="1">
      <alignment vertical="center"/>
    </xf>
    <xf numFmtId="0" fontId="43" fillId="3" borderId="50" xfId="0" applyFont="1" applyFill="1" applyBorder="1" applyAlignment="1">
      <alignment vertical="center" wrapText="1"/>
    </xf>
    <xf numFmtId="44" fontId="76" fillId="3" borderId="50" xfId="0" applyNumberFormat="1" applyFont="1" applyFill="1" applyBorder="1" applyAlignment="1">
      <alignment vertical="center" wrapText="1"/>
    </xf>
    <xf numFmtId="0" fontId="39" fillId="3" borderId="50" xfId="0" applyFont="1" applyFill="1" applyBorder="1" applyAlignment="1">
      <alignment vertical="top"/>
    </xf>
    <xf numFmtId="0" fontId="39" fillId="3" borderId="50" xfId="0" applyFont="1" applyFill="1" applyBorder="1" applyAlignment="1"/>
    <xf numFmtId="44" fontId="76" fillId="3" borderId="48" xfId="0" applyNumberFormat="1" applyFont="1" applyFill="1" applyBorder="1" applyAlignment="1">
      <alignment vertical="center" wrapText="1"/>
    </xf>
    <xf numFmtId="49" fontId="102" fillId="7" borderId="25" xfId="0" applyNumberFormat="1" applyFont="1" applyFill="1" applyBorder="1" applyAlignment="1">
      <alignment horizontal="center" vertical="center" wrapText="1"/>
    </xf>
    <xf numFmtId="174" fontId="34" fillId="17" borderId="25" xfId="2" applyNumberFormat="1" applyFont="1" applyFill="1" applyBorder="1" applyAlignment="1">
      <alignment horizontal="center" vertical="center" wrapText="1"/>
    </xf>
    <xf numFmtId="0" fontId="103" fillId="7" borderId="25" xfId="0" applyFont="1" applyFill="1" applyBorder="1" applyAlignment="1">
      <alignment horizontal="center" vertical="center" wrapText="1"/>
    </xf>
    <xf numFmtId="0" fontId="93" fillId="3" borderId="0" xfId="25" applyFill="1" applyAlignment="1">
      <alignment vertical="center" wrapText="1"/>
    </xf>
    <xf numFmtId="0" fontId="0" fillId="3" borderId="0" xfId="0" applyFill="1" applyAlignment="1">
      <alignment vertical="center"/>
    </xf>
    <xf numFmtId="0" fontId="57" fillId="3" borderId="0" xfId="25" applyFont="1" applyFill="1" applyAlignment="1">
      <alignment horizontal="center" vertical="center"/>
    </xf>
    <xf numFmtId="164" fontId="93" fillId="3" borderId="0" xfId="2" applyFill="1" applyBorder="1" applyAlignment="1" applyProtection="1">
      <alignment vertical="center"/>
    </xf>
    <xf numFmtId="44" fontId="56" fillId="3" borderId="57" xfId="44" applyNumberFormat="1" applyFont="1" applyFill="1" applyBorder="1" applyAlignment="1" applyProtection="1">
      <alignment horizontal="right" vertical="center"/>
    </xf>
    <xf numFmtId="7" fontId="55" fillId="3" borderId="0" xfId="2" applyNumberFormat="1" applyFont="1" applyFill="1" applyBorder="1" applyAlignment="1" applyProtection="1">
      <alignment horizontal="center" vertical="center"/>
    </xf>
    <xf numFmtId="184" fontId="55" fillId="3" borderId="57" xfId="44" applyNumberFormat="1" applyFont="1" applyFill="1" applyBorder="1" applyAlignment="1" applyProtection="1">
      <alignment horizontal="right" vertical="center"/>
    </xf>
    <xf numFmtId="44" fontId="56" fillId="15" borderId="57" xfId="44" applyNumberFormat="1" applyFont="1" applyFill="1" applyBorder="1" applyAlignment="1" applyProtection="1">
      <alignment horizontal="right" vertical="center"/>
    </xf>
    <xf numFmtId="184" fontId="56" fillId="3" borderId="57" xfId="44" applyNumberFormat="1" applyFont="1" applyFill="1" applyBorder="1" applyAlignment="1" applyProtection="1">
      <alignment horizontal="right" vertical="center"/>
    </xf>
    <xf numFmtId="44" fontId="56" fillId="16" borderId="57" xfId="44" applyNumberFormat="1" applyFont="1" applyFill="1" applyBorder="1" applyAlignment="1" applyProtection="1">
      <alignment horizontal="right" vertical="center"/>
    </xf>
    <xf numFmtId="0" fontId="0" fillId="3" borderId="0" xfId="0" applyFill="1" applyBorder="1" applyAlignment="1">
      <alignment vertical="center"/>
    </xf>
    <xf numFmtId="0" fontId="104" fillId="3" borderId="56" xfId="25" applyFont="1" applyFill="1" applyBorder="1" applyAlignment="1">
      <alignment horizontal="right" vertical="center"/>
    </xf>
    <xf numFmtId="0" fontId="104" fillId="3" borderId="0" xfId="25" applyFont="1" applyFill="1" applyAlignment="1">
      <alignment horizontal="left" vertical="center"/>
    </xf>
    <xf numFmtId="0" fontId="104" fillId="3" borderId="0" xfId="25" applyFont="1" applyFill="1" applyAlignment="1">
      <alignment vertical="center"/>
    </xf>
    <xf numFmtId="172" fontId="106" fillId="3" borderId="0" xfId="44" applyFont="1" applyFill="1" applyBorder="1" applyAlignment="1" applyProtection="1">
      <alignment horizontal="center" vertical="center"/>
    </xf>
    <xf numFmtId="172" fontId="106" fillId="3" borderId="57" xfId="44" applyFont="1" applyFill="1" applyBorder="1" applyAlignment="1" applyProtection="1">
      <alignment horizontal="right" vertical="center"/>
    </xf>
    <xf numFmtId="0" fontId="104" fillId="3" borderId="0" xfId="25" applyFont="1" applyFill="1" applyAlignment="1">
      <alignment horizontal="center" vertical="center"/>
    </xf>
    <xf numFmtId="172" fontId="1" fillId="3" borderId="0" xfId="44" applyFont="1" applyFill="1" applyBorder="1" applyAlignment="1" applyProtection="1">
      <alignment horizontal="center" vertical="center"/>
    </xf>
    <xf numFmtId="0" fontId="105" fillId="3" borderId="0" xfId="25" applyFont="1" applyFill="1" applyAlignment="1">
      <alignment horizontal="center" vertical="center"/>
    </xf>
    <xf numFmtId="0" fontId="105" fillId="3" borderId="0" xfId="25" applyFont="1" applyFill="1" applyAlignment="1">
      <alignment vertical="center"/>
    </xf>
    <xf numFmtId="0" fontId="103" fillId="7" borderId="25" xfId="0" applyNumberFormat="1" applyFont="1" applyFill="1" applyBorder="1" applyAlignment="1">
      <alignment vertical="center" wrapText="1"/>
    </xf>
    <xf numFmtId="178" fontId="105" fillId="25" borderId="25" xfId="2" applyNumberFormat="1" applyFont="1" applyFill="1" applyBorder="1" applyProtection="1"/>
    <xf numFmtId="0" fontId="104" fillId="3" borderId="0" xfId="25" applyFont="1" applyFill="1" applyAlignment="1">
      <alignment horizontal="right" vertical="center"/>
    </xf>
    <xf numFmtId="186" fontId="107" fillId="0" borderId="4" xfId="0" applyNumberFormat="1" applyFont="1" applyFill="1" applyBorder="1" applyAlignment="1">
      <alignment horizontal="left" vertical="center" wrapText="1"/>
    </xf>
    <xf numFmtId="10" fontId="37" fillId="3" borderId="25" xfId="31" applyNumberFormat="1" applyFont="1" applyFill="1" applyBorder="1" applyAlignment="1">
      <alignment horizontal="center" vertical="center"/>
    </xf>
    <xf numFmtId="17" fontId="110" fillId="7" borderId="0" xfId="0" applyNumberFormat="1" applyFont="1" applyFill="1" applyAlignment="1">
      <alignment horizontal="left" vertical="center"/>
    </xf>
    <xf numFmtId="172" fontId="112" fillId="2" borderId="25" xfId="44" applyFont="1" applyFill="1" applyBorder="1" applyAlignment="1" applyProtection="1">
      <alignment horizontal="center" vertical="center"/>
    </xf>
    <xf numFmtId="0" fontId="103" fillId="3" borderId="0" xfId="25" applyFont="1" applyFill="1" applyAlignment="1">
      <alignment horizontal="left" vertical="center"/>
    </xf>
    <xf numFmtId="10" fontId="103" fillId="3" borderId="0" xfId="25" applyNumberFormat="1" applyFont="1" applyFill="1" applyAlignment="1">
      <alignment horizontal="center" vertical="center"/>
    </xf>
    <xf numFmtId="0" fontId="103" fillId="3" borderId="0" xfId="25" applyFont="1" applyFill="1" applyAlignment="1">
      <alignment horizontal="center" vertical="center"/>
    </xf>
    <xf numFmtId="184" fontId="114" fillId="3" borderId="0" xfId="44" applyNumberFormat="1" applyFont="1" applyFill="1" applyBorder="1" applyAlignment="1" applyProtection="1">
      <alignment vertical="center"/>
    </xf>
    <xf numFmtId="44" fontId="115" fillId="3" borderId="57" xfId="44" applyNumberFormat="1" applyFont="1" applyFill="1" applyBorder="1" applyAlignment="1" applyProtection="1">
      <alignment horizontal="right" vertical="center"/>
    </xf>
    <xf numFmtId="0" fontId="103" fillId="3" borderId="0" xfId="0" applyFont="1" applyFill="1" applyAlignment="1">
      <alignment vertical="center"/>
    </xf>
    <xf numFmtId="44" fontId="116" fillId="17" borderId="4" xfId="16" applyNumberFormat="1" applyFont="1" applyFill="1" applyBorder="1" applyAlignment="1">
      <alignment horizontal="center" vertical="center"/>
    </xf>
    <xf numFmtId="174" fontId="0" fillId="17" borderId="25" xfId="2" applyNumberFormat="1" applyFont="1" applyFill="1" applyBorder="1" applyAlignment="1">
      <alignment horizontal="center" vertical="center" wrapText="1"/>
    </xf>
    <xf numFmtId="174" fontId="0" fillId="17" borderId="25" xfId="9" applyNumberFormat="1" applyFont="1" applyFill="1" applyBorder="1" applyAlignment="1">
      <alignment horizontal="center" vertical="center" wrapText="1"/>
    </xf>
    <xf numFmtId="2" fontId="43" fillId="3" borderId="4" xfId="0" applyNumberFormat="1" applyFont="1" applyFill="1" applyBorder="1" applyAlignment="1">
      <alignment horizontal="center" vertical="center"/>
    </xf>
    <xf numFmtId="168" fontId="86" fillId="3" borderId="0" xfId="27" applyFont="1" applyFill="1" applyAlignment="1">
      <alignment horizontal="left" vertical="center" wrapText="1"/>
    </xf>
    <xf numFmtId="0" fontId="94" fillId="23" borderId="1" xfId="0" applyFont="1" applyFill="1" applyBorder="1" applyAlignment="1">
      <alignment horizontal="center" vertical="center" wrapText="1"/>
    </xf>
    <xf numFmtId="0" fontId="94" fillId="23" borderId="2" xfId="0" applyFont="1" applyFill="1" applyBorder="1" applyAlignment="1">
      <alignment horizontal="center" vertical="center" wrapText="1"/>
    </xf>
    <xf numFmtId="169" fontId="95" fillId="23" borderId="2" xfId="1" applyNumberFormat="1" applyFont="1" applyFill="1" applyBorder="1" applyAlignment="1">
      <alignment horizontal="center" vertical="center" wrapText="1"/>
    </xf>
    <xf numFmtId="44" fontId="95" fillId="23" borderId="2" xfId="0" applyNumberFormat="1" applyFont="1" applyFill="1" applyBorder="1" applyAlignment="1">
      <alignment horizontal="center" vertical="center" wrapText="1"/>
    </xf>
    <xf numFmtId="202" fontId="94" fillId="23" borderId="6" xfId="0" applyNumberFormat="1" applyFont="1" applyFill="1" applyBorder="1" applyAlignment="1">
      <alignment horizontal="center" vertical="center" wrapText="1"/>
    </xf>
    <xf numFmtId="0" fontId="108" fillId="0" borderId="3" xfId="0" applyFont="1" applyBorder="1" applyAlignment="1">
      <alignment horizontal="left" vertical="center" wrapText="1"/>
    </xf>
    <xf numFmtId="0" fontId="108" fillId="0" borderId="0" xfId="0" applyFont="1" applyAlignment="1">
      <alignment horizontal="left" vertical="center" wrapText="1"/>
    </xf>
    <xf numFmtId="0" fontId="108" fillId="0" borderId="0" xfId="0" applyFont="1" applyFill="1" applyAlignment="1">
      <alignment horizontal="left" vertical="center" wrapText="1"/>
    </xf>
    <xf numFmtId="0" fontId="68" fillId="3" borderId="3" xfId="0" applyFont="1" applyFill="1" applyBorder="1" applyAlignment="1">
      <alignment horizontal="center" vertical="center"/>
    </xf>
    <xf numFmtId="0" fontId="68" fillId="3" borderId="0" xfId="0" applyFont="1" applyFill="1" applyBorder="1" applyAlignment="1">
      <alignment horizontal="center" vertical="center"/>
    </xf>
    <xf numFmtId="169" fontId="81" fillId="3" borderId="0" xfId="1" applyNumberFormat="1" applyFont="1" applyFill="1" applyBorder="1" applyAlignment="1">
      <alignment horizontal="center" vertical="center"/>
    </xf>
    <xf numFmtId="44" fontId="81" fillId="3" borderId="0" xfId="0" applyNumberFormat="1" applyFont="1" applyFill="1" applyBorder="1" applyAlignment="1">
      <alignment horizontal="center" vertical="center"/>
    </xf>
    <xf numFmtId="202" fontId="68" fillId="3" borderId="50" xfId="0" applyNumberFormat="1" applyFont="1" applyFill="1" applyBorder="1" applyAlignment="1">
      <alignment horizontal="center" vertical="center"/>
    </xf>
    <xf numFmtId="0" fontId="76" fillId="24" borderId="27" xfId="0" applyFont="1" applyFill="1" applyBorder="1" applyAlignment="1">
      <alignment horizontal="left" vertical="center" wrapText="1"/>
    </xf>
    <xf numFmtId="0" fontId="76" fillId="24" borderId="28" xfId="0" applyFont="1" applyFill="1" applyBorder="1" applyAlignment="1">
      <alignment horizontal="left" vertical="center" wrapText="1"/>
    </xf>
    <xf numFmtId="168" fontId="83" fillId="3" borderId="25" xfId="27" applyFont="1" applyFill="1" applyBorder="1" applyAlignment="1">
      <alignment horizontal="left" vertical="center" wrapText="1"/>
    </xf>
    <xf numFmtId="0" fontId="64" fillId="3" borderId="0" xfId="0" applyFont="1" applyFill="1" applyBorder="1" applyAlignment="1">
      <alignment horizontal="center" vertical="center"/>
    </xf>
    <xf numFmtId="0" fontId="70" fillId="18" borderId="43" xfId="0" applyFont="1" applyFill="1" applyBorder="1" applyAlignment="1">
      <alignment horizontal="center" vertical="center"/>
    </xf>
    <xf numFmtId="0" fontId="70" fillId="18" borderId="53" xfId="0" applyFont="1" applyFill="1" applyBorder="1" applyAlignment="1">
      <alignment horizontal="center" vertical="center"/>
    </xf>
    <xf numFmtId="0" fontId="96" fillId="0" borderId="43" xfId="0" applyFont="1" applyFill="1" applyBorder="1" applyAlignment="1">
      <alignment horizontal="left" vertical="center" wrapText="1"/>
    </xf>
    <xf numFmtId="0" fontId="71" fillId="0" borderId="58" xfId="0" applyFont="1" applyFill="1" applyBorder="1" applyAlignment="1">
      <alignment horizontal="left" vertical="center" wrapText="1"/>
    </xf>
    <xf numFmtId="0" fontId="71" fillId="0" borderId="44" xfId="0" applyFont="1" applyFill="1" applyBorder="1" applyAlignment="1">
      <alignment horizontal="left" vertical="center" wrapText="1"/>
    </xf>
    <xf numFmtId="0" fontId="71" fillId="0" borderId="53" xfId="0" applyFont="1" applyFill="1" applyBorder="1" applyAlignment="1">
      <alignment horizontal="left" vertical="center" wrapText="1"/>
    </xf>
    <xf numFmtId="0" fontId="62" fillId="19" borderId="57" xfId="0" applyFont="1" applyFill="1" applyBorder="1" applyAlignment="1">
      <alignment horizontal="left" vertical="center" wrapText="1"/>
    </xf>
    <xf numFmtId="0" fontId="62" fillId="19" borderId="61" xfId="0" applyFont="1" applyFill="1" applyBorder="1" applyAlignment="1">
      <alignment horizontal="left" vertical="center" wrapText="1"/>
    </xf>
    <xf numFmtId="0" fontId="63" fillId="18" borderId="45" xfId="0" applyFont="1" applyFill="1" applyBorder="1" applyAlignment="1">
      <alignment horizontal="right" vertical="center"/>
    </xf>
    <xf numFmtId="0" fontId="63" fillId="18" borderId="58" xfId="0" applyFont="1" applyFill="1" applyBorder="1" applyAlignment="1">
      <alignment horizontal="right" vertical="center"/>
    </xf>
    <xf numFmtId="0" fontId="63" fillId="18" borderId="44" xfId="0" applyFont="1" applyFill="1" applyBorder="1" applyAlignment="1">
      <alignment horizontal="right" vertical="center"/>
    </xf>
    <xf numFmtId="0" fontId="63" fillId="18" borderId="53" xfId="0" applyFont="1" applyFill="1" applyBorder="1" applyAlignment="1">
      <alignment horizontal="right" vertical="center"/>
    </xf>
    <xf numFmtId="0" fontId="70" fillId="20" borderId="2" xfId="0" applyFont="1" applyFill="1" applyBorder="1" applyAlignment="1">
      <alignment horizontal="right" vertical="center"/>
    </xf>
    <xf numFmtId="0" fontId="70" fillId="20" borderId="6" xfId="0" applyFont="1" applyFill="1" applyBorder="1" applyAlignment="1">
      <alignment horizontal="right" vertical="center"/>
    </xf>
    <xf numFmtId="0" fontId="98" fillId="2" borderId="62" xfId="0" applyFont="1" applyFill="1" applyBorder="1" applyAlignment="1">
      <alignment horizontal="center" vertical="center" textRotation="90"/>
    </xf>
    <xf numFmtId="0" fontId="98" fillId="2" borderId="67" xfId="0" applyFont="1" applyFill="1" applyBorder="1" applyAlignment="1">
      <alignment horizontal="center" vertical="center" textRotation="90"/>
    </xf>
    <xf numFmtId="0" fontId="98" fillId="2" borderId="54" xfId="0" applyFont="1" applyFill="1" applyBorder="1" applyAlignment="1">
      <alignment horizontal="center" vertical="center" textRotation="90"/>
    </xf>
    <xf numFmtId="0" fontId="70" fillId="2" borderId="8" xfId="0" applyFont="1" applyFill="1" applyBorder="1" applyAlignment="1">
      <alignment horizontal="center" vertical="center"/>
    </xf>
    <xf numFmtId="0" fontId="70" fillId="2" borderId="46" xfId="0" applyFont="1" applyFill="1" applyBorder="1" applyAlignment="1">
      <alignment horizontal="center" vertical="center"/>
    </xf>
    <xf numFmtId="0" fontId="70" fillId="2" borderId="3" xfId="0" applyFont="1" applyFill="1" applyBorder="1" applyAlignment="1">
      <alignment horizontal="center" vertical="center"/>
    </xf>
    <xf numFmtId="0" fontId="70" fillId="2" borderId="0" xfId="0" applyFont="1" applyFill="1" applyBorder="1" applyAlignment="1">
      <alignment horizontal="center" vertical="center"/>
    </xf>
    <xf numFmtId="0" fontId="70" fillId="2" borderId="50" xfId="0" applyFont="1" applyFill="1" applyBorder="1" applyAlignment="1">
      <alignment horizontal="center" vertical="center"/>
    </xf>
    <xf numFmtId="0" fontId="70" fillId="2" borderId="47" xfId="0" applyFont="1" applyFill="1" applyBorder="1" applyAlignment="1">
      <alignment horizontal="center" vertical="center"/>
    </xf>
    <xf numFmtId="0" fontId="70" fillId="2" borderId="5" xfId="0" applyFont="1" applyFill="1" applyBorder="1" applyAlignment="1">
      <alignment horizontal="center" vertical="center"/>
    </xf>
    <xf numFmtId="0" fontId="70" fillId="2" borderId="48" xfId="0" applyFont="1" applyFill="1" applyBorder="1" applyAlignment="1">
      <alignment horizontal="center" vertical="center"/>
    </xf>
    <xf numFmtId="0" fontId="94" fillId="3" borderId="0" xfId="0" applyFont="1" applyFill="1" applyAlignment="1">
      <alignment horizontal="left" vertical="center"/>
    </xf>
    <xf numFmtId="0" fontId="72" fillId="3" borderId="0" xfId="0" applyFont="1" applyFill="1" applyAlignment="1">
      <alignment horizontal="left" vertical="center"/>
    </xf>
    <xf numFmtId="0" fontId="63" fillId="18" borderId="43" xfId="0" applyFont="1" applyFill="1" applyBorder="1" applyAlignment="1">
      <alignment horizontal="left" vertical="center" wrapText="1"/>
    </xf>
    <xf numFmtId="0" fontId="63" fillId="18" borderId="53" xfId="0" applyFont="1" applyFill="1" applyBorder="1" applyAlignment="1">
      <alignment horizontal="left" vertical="center" wrapText="1"/>
    </xf>
    <xf numFmtId="0" fontId="62" fillId="19" borderId="43" xfId="0" applyFont="1" applyFill="1" applyBorder="1" applyAlignment="1">
      <alignment horizontal="left" vertical="center"/>
    </xf>
    <xf numFmtId="0" fontId="62" fillId="19" borderId="53" xfId="0" applyFont="1" applyFill="1" applyBorder="1" applyAlignment="1">
      <alignment horizontal="left" vertical="center"/>
    </xf>
    <xf numFmtId="0" fontId="62" fillId="0" borderId="0" xfId="0" applyFont="1" applyBorder="1" applyAlignment="1">
      <alignment horizontal="center" vertical="center"/>
    </xf>
    <xf numFmtId="0" fontId="67" fillId="20" borderId="2" xfId="0" applyFont="1" applyFill="1" applyBorder="1" applyAlignment="1">
      <alignment horizontal="right" vertical="center"/>
    </xf>
    <xf numFmtId="0" fontId="67" fillId="20" borderId="6" xfId="0" applyFont="1" applyFill="1" applyBorder="1" applyAlignment="1">
      <alignment horizontal="right" vertical="center"/>
    </xf>
    <xf numFmtId="0" fontId="64" fillId="3" borderId="0" xfId="0" applyFont="1" applyFill="1" applyBorder="1" applyAlignment="1">
      <alignment horizontal="right" vertical="center"/>
    </xf>
    <xf numFmtId="0" fontId="64" fillId="19" borderId="43" xfId="0" applyFont="1" applyFill="1" applyBorder="1" applyAlignment="1">
      <alignment horizontal="left" vertical="center"/>
    </xf>
    <xf numFmtId="0" fontId="64" fillId="19" borderId="53" xfId="0" applyFont="1" applyFill="1" applyBorder="1" applyAlignment="1">
      <alignment horizontal="left" vertical="center"/>
    </xf>
    <xf numFmtId="0" fontId="64" fillId="19" borderId="43" xfId="0" applyFont="1" applyFill="1" applyBorder="1" applyAlignment="1">
      <alignment horizontal="left" vertical="center" wrapText="1"/>
    </xf>
    <xf numFmtId="0" fontId="64" fillId="19" borderId="53" xfId="0" applyFont="1" applyFill="1" applyBorder="1" applyAlignment="1">
      <alignment horizontal="left" vertical="center" wrapText="1"/>
    </xf>
    <xf numFmtId="0" fontId="66" fillId="2" borderId="8" xfId="0" applyFont="1" applyFill="1" applyBorder="1" applyAlignment="1">
      <alignment horizontal="center" vertical="center"/>
    </xf>
    <xf numFmtId="0" fontId="66" fillId="2" borderId="46" xfId="0" applyFont="1" applyFill="1" applyBorder="1" applyAlignment="1">
      <alignment horizontal="center" vertical="center"/>
    </xf>
    <xf numFmtId="0" fontId="66" fillId="2" borderId="3" xfId="0" applyFont="1" applyFill="1" applyBorder="1" applyAlignment="1">
      <alignment horizontal="center" vertical="center"/>
    </xf>
    <xf numFmtId="0" fontId="66" fillId="2" borderId="0" xfId="0" applyFont="1" applyFill="1" applyBorder="1" applyAlignment="1">
      <alignment horizontal="center" vertical="center"/>
    </xf>
    <xf numFmtId="0" fontId="66" fillId="2" borderId="50" xfId="0" applyFont="1" applyFill="1" applyBorder="1" applyAlignment="1">
      <alignment horizontal="center" vertical="center"/>
    </xf>
    <xf numFmtId="0" fontId="66" fillId="2" borderId="47" xfId="0" applyFont="1" applyFill="1" applyBorder="1" applyAlignment="1">
      <alignment horizontal="center" vertical="center"/>
    </xf>
    <xf numFmtId="0" fontId="66" fillId="2" borderId="5" xfId="0" applyFont="1" applyFill="1" applyBorder="1" applyAlignment="1">
      <alignment horizontal="center" vertical="center"/>
    </xf>
    <xf numFmtId="0" fontId="66" fillId="2" borderId="48" xfId="0" applyFont="1" applyFill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7" fillId="18" borderId="43" xfId="0" applyFont="1" applyFill="1" applyBorder="1" applyAlignment="1">
      <alignment horizontal="center" vertical="center"/>
    </xf>
    <xf numFmtId="0" fontId="67" fillId="18" borderId="53" xfId="0" applyFont="1" applyFill="1" applyBorder="1" applyAlignment="1">
      <alignment horizontal="center" vertical="center"/>
    </xf>
    <xf numFmtId="0" fontId="97" fillId="0" borderId="43" xfId="0" applyFont="1" applyFill="1" applyBorder="1" applyAlignment="1">
      <alignment horizontal="left" vertical="center" wrapText="1"/>
    </xf>
    <xf numFmtId="0" fontId="68" fillId="0" borderId="58" xfId="0" applyFont="1" applyFill="1" applyBorder="1" applyAlignment="1">
      <alignment horizontal="left" vertical="center" wrapText="1"/>
    </xf>
    <xf numFmtId="0" fontId="68" fillId="0" borderId="53" xfId="0" applyFont="1" applyFill="1" applyBorder="1" applyAlignment="1">
      <alignment horizontal="left" vertical="center" wrapText="1"/>
    </xf>
    <xf numFmtId="0" fontId="6" fillId="3" borderId="66" xfId="16" applyFont="1" applyFill="1" applyBorder="1" applyAlignment="1">
      <alignment horizontal="center" vertical="center"/>
    </xf>
    <xf numFmtId="0" fontId="6" fillId="5" borderId="33" xfId="16" applyFont="1" applyFill="1" applyBorder="1" applyAlignment="1">
      <alignment horizontal="center" vertical="center"/>
    </xf>
    <xf numFmtId="0" fontId="6" fillId="5" borderId="14" xfId="16" applyFont="1" applyFill="1" applyBorder="1" applyAlignment="1">
      <alignment horizontal="center" vertical="center"/>
    </xf>
    <xf numFmtId="0" fontId="14" fillId="0" borderId="38" xfId="16" applyFont="1" applyFill="1" applyBorder="1" applyAlignment="1">
      <alignment horizontal="center" vertical="center" wrapText="1"/>
    </xf>
    <xf numFmtId="0" fontId="14" fillId="0" borderId="41" xfId="16" applyFont="1" applyFill="1" applyBorder="1" applyAlignment="1">
      <alignment horizontal="center" vertical="center" wrapText="1"/>
    </xf>
    <xf numFmtId="0" fontId="109" fillId="2" borderId="1" xfId="16" applyFont="1" applyFill="1" applyBorder="1" applyAlignment="1">
      <alignment horizontal="center" vertical="center" wrapText="1"/>
    </xf>
    <xf numFmtId="0" fontId="109" fillId="2" borderId="2" xfId="16" applyFont="1" applyFill="1" applyBorder="1" applyAlignment="1">
      <alignment horizontal="center" vertical="center" wrapText="1"/>
    </xf>
    <xf numFmtId="0" fontId="109" fillId="2" borderId="6" xfId="16" applyFont="1" applyFill="1" applyBorder="1" applyAlignment="1">
      <alignment horizontal="center" vertical="center" wrapText="1"/>
    </xf>
    <xf numFmtId="0" fontId="37" fillId="0" borderId="1" xfId="16" applyFont="1" applyBorder="1" applyAlignment="1">
      <alignment horizontal="center" vertical="center"/>
    </xf>
    <xf numFmtId="0" fontId="37" fillId="0" borderId="6" xfId="16" applyFont="1" applyBorder="1" applyAlignment="1">
      <alignment horizontal="center" vertical="center"/>
    </xf>
    <xf numFmtId="0" fontId="7" fillId="0" borderId="5" xfId="16" applyFont="1" applyBorder="1" applyAlignment="1">
      <alignment horizontal="center" vertical="center" wrapText="1"/>
    </xf>
    <xf numFmtId="0" fontId="3" fillId="2" borderId="2" xfId="16" applyFont="1" applyFill="1" applyBorder="1" applyAlignment="1">
      <alignment horizontal="center" vertical="center" wrapText="1"/>
    </xf>
    <xf numFmtId="0" fontId="3" fillId="2" borderId="6" xfId="16" applyFont="1" applyFill="1" applyBorder="1" applyAlignment="1">
      <alignment horizontal="center" vertical="center" wrapText="1"/>
    </xf>
    <xf numFmtId="0" fontId="36" fillId="2" borderId="64" xfId="16" applyFont="1" applyFill="1" applyBorder="1" applyAlignment="1">
      <alignment horizontal="left" vertical="center" wrapText="1"/>
    </xf>
    <xf numFmtId="0" fontId="14" fillId="5" borderId="38" xfId="16" applyFont="1" applyFill="1" applyBorder="1" applyAlignment="1">
      <alignment horizontal="center" vertical="center" wrapText="1"/>
    </xf>
    <xf numFmtId="0" fontId="14" fillId="5" borderId="41" xfId="16" applyFont="1" applyFill="1" applyBorder="1" applyAlignment="1">
      <alignment horizontal="center" vertical="center" wrapText="1"/>
    </xf>
    <xf numFmtId="0" fontId="14" fillId="5" borderId="15" xfId="16" applyFont="1" applyFill="1" applyBorder="1" applyAlignment="1">
      <alignment horizontal="center" vertical="center" wrapText="1"/>
    </xf>
    <xf numFmtId="0" fontId="61" fillId="0" borderId="0" xfId="0" applyFont="1" applyAlignment="1">
      <alignment horizontal="right"/>
    </xf>
    <xf numFmtId="0" fontId="6" fillId="0" borderId="33" xfId="16" applyFont="1" applyFill="1" applyBorder="1" applyAlignment="1">
      <alignment horizontal="center" vertical="center"/>
    </xf>
    <xf numFmtId="0" fontId="6" fillId="0" borderId="40" xfId="16" applyFont="1" applyFill="1" applyBorder="1" applyAlignment="1">
      <alignment horizontal="center" vertical="center"/>
    </xf>
    <xf numFmtId="0" fontId="6" fillId="5" borderId="40" xfId="16" applyFont="1" applyFill="1" applyBorder="1" applyAlignment="1">
      <alignment horizontal="center" vertical="center"/>
    </xf>
    <xf numFmtId="0" fontId="6" fillId="5" borderId="38" xfId="16" applyFont="1" applyFill="1" applyBorder="1" applyAlignment="1">
      <alignment horizontal="left" vertical="center" wrapText="1"/>
    </xf>
    <xf numFmtId="0" fontId="6" fillId="5" borderId="15" xfId="16" applyFont="1" applyFill="1" applyBorder="1" applyAlignment="1">
      <alignment horizontal="left" vertical="center" wrapText="1"/>
    </xf>
    <xf numFmtId="0" fontId="6" fillId="0" borderId="38" xfId="16" applyFont="1" applyFill="1" applyBorder="1" applyAlignment="1">
      <alignment horizontal="left" vertical="center" wrapText="1"/>
    </xf>
    <xf numFmtId="0" fontId="6" fillId="0" borderId="41" xfId="16" applyFont="1" applyFill="1" applyBorder="1" applyAlignment="1">
      <alignment horizontal="left" vertical="center" wrapText="1"/>
    </xf>
    <xf numFmtId="0" fontId="6" fillId="5" borderId="41" xfId="16" applyFont="1" applyFill="1" applyBorder="1" applyAlignment="1">
      <alignment horizontal="left" vertical="center" wrapText="1"/>
    </xf>
    <xf numFmtId="0" fontId="6" fillId="3" borderId="61" xfId="16" applyFont="1" applyFill="1" applyBorder="1" applyAlignment="1">
      <alignment horizontal="left" vertical="center" wrapText="1"/>
    </xf>
    <xf numFmtId="0" fontId="14" fillId="3" borderId="61" xfId="16" applyFont="1" applyFill="1" applyBorder="1" applyAlignment="1">
      <alignment horizontal="center" vertical="center" wrapText="1"/>
    </xf>
    <xf numFmtId="0" fontId="8" fillId="0" borderId="3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/>
    </xf>
    <xf numFmtId="0" fontId="8" fillId="0" borderId="57" xfId="16" applyFont="1" applyBorder="1" applyAlignment="1">
      <alignment horizontal="center" vertical="center"/>
    </xf>
    <xf numFmtId="0" fontId="111" fillId="26" borderId="34" xfId="25" applyFont="1" applyFill="1" applyBorder="1" applyAlignment="1">
      <alignment horizontal="center" vertical="center"/>
    </xf>
    <xf numFmtId="0" fontId="111" fillId="26" borderId="55" xfId="25" applyFont="1" applyFill="1" applyBorder="1" applyAlignment="1">
      <alignment horizontal="center" vertical="center"/>
    </xf>
    <xf numFmtId="0" fontId="111" fillId="26" borderId="35" xfId="25" applyFont="1" applyFill="1" applyBorder="1" applyAlignment="1">
      <alignment horizontal="center" vertical="center"/>
    </xf>
    <xf numFmtId="0" fontId="105" fillId="3" borderId="56" xfId="25" applyFont="1" applyFill="1" applyBorder="1" applyAlignment="1">
      <alignment horizontal="center" vertical="center"/>
    </xf>
    <xf numFmtId="0" fontId="105" fillId="3" borderId="0" xfId="25" applyFont="1" applyFill="1" applyAlignment="1">
      <alignment horizontal="center" vertical="center"/>
    </xf>
    <xf numFmtId="0" fontId="56" fillId="15" borderId="56" xfId="25" applyFont="1" applyFill="1" applyBorder="1" applyAlignment="1">
      <alignment horizontal="left" vertical="center"/>
    </xf>
    <xf numFmtId="0" fontId="56" fillId="15" borderId="0" xfId="25" applyFont="1" applyFill="1" applyAlignment="1">
      <alignment horizontal="left" vertical="center"/>
    </xf>
    <xf numFmtId="0" fontId="103" fillId="3" borderId="56" xfId="25" applyFont="1" applyFill="1" applyBorder="1" applyAlignment="1">
      <alignment horizontal="left" vertical="center"/>
    </xf>
    <xf numFmtId="0" fontId="103" fillId="3" borderId="0" xfId="25" applyFont="1" applyFill="1" applyAlignment="1">
      <alignment horizontal="left" vertical="center"/>
    </xf>
    <xf numFmtId="0" fontId="93" fillId="3" borderId="56" xfId="25" applyFill="1" applyBorder="1" applyAlignment="1">
      <alignment horizontal="left" vertical="center"/>
    </xf>
    <xf numFmtId="0" fontId="93" fillId="3" borderId="0" xfId="25" applyFill="1" applyAlignment="1">
      <alignment horizontal="left" vertical="center"/>
    </xf>
    <xf numFmtId="0" fontId="56" fillId="16" borderId="56" xfId="25" applyFont="1" applyFill="1" applyBorder="1" applyAlignment="1">
      <alignment horizontal="left" vertical="center"/>
    </xf>
    <xf numFmtId="0" fontId="56" fillId="16" borderId="0" xfId="25" applyFont="1" applyFill="1" applyBorder="1" applyAlignment="1">
      <alignment horizontal="left" vertical="center"/>
    </xf>
    <xf numFmtId="0" fontId="46" fillId="0" borderId="0" xfId="0" applyFont="1" applyAlignment="1">
      <alignment horizontal="center"/>
    </xf>
    <xf numFmtId="0" fontId="98" fillId="2" borderId="1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 wrapText="1"/>
    </xf>
    <xf numFmtId="0" fontId="47" fillId="2" borderId="6" xfId="0" applyFont="1" applyFill="1" applyBorder="1" applyAlignment="1">
      <alignment horizontal="center" vertical="center" wrapText="1"/>
    </xf>
    <xf numFmtId="0" fontId="51" fillId="7" borderId="5" xfId="0" applyFont="1" applyFill="1" applyBorder="1" applyAlignment="1">
      <alignment horizontal="left" vertical="center" wrapText="1"/>
    </xf>
    <xf numFmtId="0" fontId="52" fillId="7" borderId="5" xfId="0" applyFont="1" applyFill="1" applyBorder="1" applyAlignment="1">
      <alignment horizontal="center" vertical="center"/>
    </xf>
    <xf numFmtId="0" fontId="53" fillId="7" borderId="5" xfId="0" applyFont="1" applyFill="1" applyBorder="1" applyAlignment="1">
      <alignment horizontal="center" vertical="center"/>
    </xf>
    <xf numFmtId="0" fontId="53" fillId="7" borderId="5" xfId="0" applyFont="1" applyFill="1" applyBorder="1" applyAlignment="1">
      <alignment horizontal="right" vertical="center"/>
    </xf>
    <xf numFmtId="0" fontId="53" fillId="7" borderId="0" xfId="0" applyFont="1" applyFill="1" applyAlignment="1">
      <alignment horizontal="right" vertical="center"/>
    </xf>
    <xf numFmtId="0" fontId="53" fillId="7" borderId="63" xfId="0" applyFont="1" applyFill="1" applyBorder="1" applyAlignment="1">
      <alignment horizontal="right" vertical="center"/>
    </xf>
    <xf numFmtId="0" fontId="53" fillId="7" borderId="5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39" fillId="0" borderId="43" xfId="21" applyFont="1" applyBorder="1" applyAlignment="1">
      <alignment horizontal="center"/>
    </xf>
    <xf numFmtId="0" fontId="39" fillId="0" borderId="58" xfId="21" applyFont="1" applyBorder="1" applyAlignment="1">
      <alignment horizontal="center"/>
    </xf>
    <xf numFmtId="0" fontId="39" fillId="0" borderId="53" xfId="21" applyFont="1" applyBorder="1" applyAlignment="1">
      <alignment horizontal="center"/>
    </xf>
    <xf numFmtId="0" fontId="44" fillId="12" borderId="1" xfId="18" applyFont="1" applyFill="1" applyBorder="1" applyAlignment="1">
      <alignment horizontal="right" vertical="center"/>
    </xf>
    <xf numFmtId="0" fontId="44" fillId="12" borderId="2" xfId="18" applyFont="1" applyFill="1" applyBorder="1" applyAlignment="1">
      <alignment horizontal="right" vertical="center"/>
    </xf>
    <xf numFmtId="0" fontId="44" fillId="12" borderId="6" xfId="18" applyFont="1" applyFill="1" applyBorder="1" applyAlignment="1">
      <alignment horizontal="right" vertical="center"/>
    </xf>
    <xf numFmtId="0" fontId="39" fillId="0" borderId="8" xfId="21" applyFont="1" applyBorder="1" applyAlignment="1">
      <alignment horizontal="left" vertical="center"/>
    </xf>
    <xf numFmtId="0" fontId="39" fillId="0" borderId="46" xfId="21" applyFont="1" applyBorder="1" applyAlignment="1">
      <alignment horizontal="left" vertical="center"/>
    </xf>
    <xf numFmtId="0" fontId="39" fillId="0" borderId="0" xfId="21" applyFont="1" applyAlignment="1">
      <alignment horizontal="left" vertical="center"/>
    </xf>
    <xf numFmtId="0" fontId="39" fillId="0" borderId="50" xfId="21" applyFont="1" applyBorder="1" applyAlignment="1">
      <alignment horizontal="left" vertical="center"/>
    </xf>
    <xf numFmtId="0" fontId="40" fillId="2" borderId="2" xfId="21" applyFont="1" applyFill="1" applyBorder="1" applyAlignment="1">
      <alignment horizontal="center" vertical="center"/>
    </xf>
    <xf numFmtId="0" fontId="40" fillId="2" borderId="6" xfId="21" applyFont="1" applyFill="1" applyBorder="1" applyAlignment="1">
      <alignment horizontal="center" vertical="center"/>
    </xf>
    <xf numFmtId="0" fontId="41" fillId="0" borderId="0" xfId="21" applyFont="1" applyBorder="1" applyAlignment="1">
      <alignment horizontal="center" vertical="center"/>
    </xf>
    <xf numFmtId="0" fontId="99" fillId="2" borderId="7" xfId="21" applyFont="1" applyFill="1" applyBorder="1" applyAlignment="1">
      <alignment horizontal="center" vertical="center" wrapText="1"/>
    </xf>
    <xf numFmtId="0" fontId="40" fillId="2" borderId="8" xfId="21" applyFont="1" applyFill="1" applyBorder="1" applyAlignment="1">
      <alignment horizontal="center" vertical="center" wrapText="1"/>
    </xf>
    <xf numFmtId="0" fontId="40" fillId="2" borderId="46" xfId="21" applyFont="1" applyFill="1" applyBorder="1" applyAlignment="1">
      <alignment horizontal="center" vertical="center" wrapText="1"/>
    </xf>
    <xf numFmtId="0" fontId="40" fillId="2" borderId="47" xfId="21" applyFont="1" applyFill="1" applyBorder="1" applyAlignment="1">
      <alignment horizontal="center" vertical="center" wrapText="1"/>
    </xf>
    <xf numFmtId="0" fontId="40" fillId="2" borderId="5" xfId="21" applyFont="1" applyFill="1" applyBorder="1" applyAlignment="1">
      <alignment horizontal="center" vertical="center" wrapText="1"/>
    </xf>
    <xf numFmtId="0" fontId="40" fillId="2" borderId="48" xfId="21" applyFont="1" applyFill="1" applyBorder="1" applyAlignment="1">
      <alignment horizontal="center" vertical="center" wrapText="1"/>
    </xf>
    <xf numFmtId="0" fontId="113" fillId="0" borderId="0" xfId="21" applyFont="1" applyAlignment="1">
      <alignment horizontal="left" vertical="center" wrapText="1"/>
    </xf>
    <xf numFmtId="0" fontId="42" fillId="0" borderId="0" xfId="21" applyFont="1" applyAlignment="1">
      <alignment horizontal="left" vertical="center" wrapText="1"/>
    </xf>
    <xf numFmtId="0" fontId="43" fillId="0" borderId="0" xfId="21" applyFont="1" applyBorder="1" applyAlignment="1">
      <alignment horizontal="center" vertical="center" wrapText="1"/>
    </xf>
    <xf numFmtId="0" fontId="36" fillId="9" borderId="25" xfId="29" applyFont="1" applyFill="1" applyBorder="1" applyAlignment="1">
      <alignment horizontal="center" vertical="center"/>
    </xf>
    <xf numFmtId="0" fontId="36" fillId="0" borderId="38" xfId="29" applyFont="1" applyFill="1" applyBorder="1" applyAlignment="1">
      <alignment horizontal="center" vertical="center"/>
    </xf>
    <xf numFmtId="0" fontId="36" fillId="0" borderId="25" xfId="29" applyFont="1" applyFill="1" applyBorder="1" applyAlignment="1">
      <alignment horizontal="center" vertical="center"/>
    </xf>
    <xf numFmtId="49" fontId="6" fillId="3" borderId="25" xfId="29" applyNumberFormat="1" applyFont="1" applyFill="1" applyBorder="1" applyAlignment="1">
      <alignment horizontal="right" vertical="center"/>
    </xf>
    <xf numFmtId="0" fontId="6" fillId="3" borderId="25" xfId="13" applyFont="1" applyFill="1" applyBorder="1" applyAlignment="1">
      <alignment horizontal="right" vertical="center"/>
    </xf>
    <xf numFmtId="49" fontId="6" fillId="3" borderId="0" xfId="29" applyNumberFormat="1" applyFont="1" applyFill="1" applyBorder="1" applyAlignment="1">
      <alignment horizontal="center" vertical="center"/>
    </xf>
    <xf numFmtId="0" fontId="36" fillId="3" borderId="34" xfId="29" applyFont="1" applyFill="1" applyBorder="1" applyAlignment="1">
      <alignment horizontal="left" vertical="center" wrapText="1"/>
    </xf>
    <xf numFmtId="0" fontId="36" fillId="3" borderId="60" xfId="29" applyFont="1" applyFill="1" applyBorder="1" applyAlignment="1">
      <alignment horizontal="left" vertical="center" wrapText="1"/>
    </xf>
    <xf numFmtId="0" fontId="18" fillId="3" borderId="55" xfId="29" applyFont="1" applyFill="1" applyBorder="1" applyAlignment="1">
      <alignment horizontal="center" vertical="center"/>
    </xf>
    <xf numFmtId="0" fontId="18" fillId="3" borderId="35" xfId="29" applyFont="1" applyFill="1" applyBorder="1" applyAlignment="1">
      <alignment horizontal="center" vertical="center"/>
    </xf>
    <xf numFmtId="0" fontId="18" fillId="3" borderId="13" xfId="29" applyFont="1" applyFill="1" applyBorder="1" applyAlignment="1">
      <alignment horizontal="center" vertical="center"/>
    </xf>
    <xf numFmtId="0" fontId="18" fillId="3" borderId="59" xfId="29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7" fillId="2" borderId="1" xfId="0" applyFont="1" applyFill="1" applyBorder="1" applyAlignment="1">
      <alignment horizontal="center" vertical="center" wrapText="1"/>
    </xf>
    <xf numFmtId="0" fontId="117" fillId="2" borderId="2" xfId="0" applyFont="1" applyFill="1" applyBorder="1" applyAlignment="1">
      <alignment horizontal="center" vertical="center" wrapText="1"/>
    </xf>
    <xf numFmtId="0" fontId="117" fillId="2" borderId="6" xfId="0" applyFont="1" applyFill="1" applyBorder="1" applyAlignment="1">
      <alignment horizontal="center" vertical="center" wrapText="1"/>
    </xf>
    <xf numFmtId="0" fontId="30" fillId="0" borderId="1" xfId="15" applyFont="1" applyBorder="1" applyAlignment="1">
      <alignment horizontal="left"/>
    </xf>
    <xf numFmtId="0" fontId="30" fillId="0" borderId="2" xfId="15" applyFont="1" applyBorder="1" applyAlignment="1">
      <alignment horizontal="left"/>
    </xf>
    <xf numFmtId="0" fontId="30" fillId="0" borderId="6" xfId="15" applyFont="1" applyBorder="1" applyAlignment="1">
      <alignment horizontal="left"/>
    </xf>
    <xf numFmtId="4" fontId="17" fillId="7" borderId="4" xfId="15" applyNumberFormat="1" applyFont="1" applyFill="1" applyBorder="1" applyAlignment="1">
      <alignment horizontal="center" vertical="center"/>
    </xf>
    <xf numFmtId="0" fontId="26" fillId="2" borderId="9" xfId="15" applyFont="1" applyFill="1" applyBorder="1" applyAlignment="1">
      <alignment horizontal="center" vertical="center" wrapText="1"/>
    </xf>
    <xf numFmtId="0" fontId="26" fillId="2" borderId="10" xfId="15" applyFont="1" applyFill="1" applyBorder="1" applyAlignment="1">
      <alignment horizontal="center" vertical="center" wrapText="1"/>
    </xf>
    <xf numFmtId="0" fontId="26" fillId="2" borderId="11" xfId="15" applyFont="1" applyFill="1" applyBorder="1" applyAlignment="1">
      <alignment horizontal="center" vertical="center" wrapText="1"/>
    </xf>
    <xf numFmtId="0" fontId="26" fillId="2" borderId="14" xfId="15" applyFont="1" applyFill="1" applyBorder="1" applyAlignment="1">
      <alignment horizontal="center" vertical="center" wrapText="1"/>
    </xf>
    <xf numFmtId="0" fontId="26" fillId="2" borderId="15" xfId="15" applyFont="1" applyFill="1" applyBorder="1" applyAlignment="1">
      <alignment horizontal="center" vertical="center" wrapText="1"/>
    </xf>
    <xf numFmtId="0" fontId="26" fillId="2" borderId="16" xfId="15" applyFont="1" applyFill="1" applyBorder="1" applyAlignment="1">
      <alignment horizontal="center" vertical="center" wrapText="1"/>
    </xf>
    <xf numFmtId="49" fontId="23" fillId="0" borderId="35" xfId="0" applyNumberFormat="1" applyFont="1" applyBorder="1" applyAlignment="1">
      <alignment horizontal="center" vertical="top" wrapText="1"/>
    </xf>
    <xf numFmtId="49" fontId="23" fillId="0" borderId="57" xfId="0" applyNumberFormat="1" applyFont="1" applyBorder="1" applyAlignment="1">
      <alignment horizontal="center" vertical="top" wrapText="1"/>
    </xf>
    <xf numFmtId="0" fontId="100" fillId="2" borderId="43" xfId="0" applyFont="1" applyFill="1" applyBorder="1" applyAlignment="1">
      <alignment horizontal="center" vertical="center" wrapText="1"/>
    </xf>
    <xf numFmtId="0" fontId="11" fillId="2" borderId="58" xfId="0" applyFont="1" applyFill="1" applyBorder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30" fillId="0" borderId="1" xfId="15" applyFont="1" applyBorder="1" applyAlignment="1">
      <alignment horizontal="left" vertical="center"/>
    </xf>
    <xf numFmtId="0" fontId="30" fillId="0" borderId="2" xfId="15" applyFont="1" applyBorder="1" applyAlignment="1">
      <alignment horizontal="left" vertical="center"/>
    </xf>
    <xf numFmtId="0" fontId="30" fillId="0" borderId="6" xfId="15" applyFont="1" applyBorder="1" applyAlignment="1">
      <alignment horizontal="left" vertical="center"/>
    </xf>
    <xf numFmtId="0" fontId="6" fillId="4" borderId="1" xfId="16" applyFont="1" applyFill="1" applyBorder="1" applyAlignment="1">
      <alignment horizontal="right" vertical="center" wrapText="1"/>
    </xf>
    <xf numFmtId="0" fontId="6" fillId="4" borderId="6" xfId="16" applyFont="1" applyFill="1" applyBorder="1" applyAlignment="1">
      <alignment horizontal="right" vertical="center" wrapText="1"/>
    </xf>
    <xf numFmtId="0" fontId="6" fillId="6" borderId="1" xfId="16" applyFont="1" applyFill="1" applyBorder="1" applyAlignment="1">
      <alignment horizontal="justify" vertical="center" wrapText="1"/>
    </xf>
    <xf numFmtId="0" fontId="6" fillId="6" borderId="2" xfId="16" applyFont="1" applyFill="1" applyBorder="1" applyAlignment="1">
      <alignment horizontal="justify" vertical="center" wrapText="1"/>
    </xf>
    <xf numFmtId="0" fontId="6" fillId="6" borderId="6" xfId="16" applyFont="1" applyFill="1" applyBorder="1" applyAlignment="1">
      <alignment horizontal="justify" vertical="center" wrapText="1"/>
    </xf>
    <xf numFmtId="0" fontId="11" fillId="2" borderId="1" xfId="16" applyFont="1" applyFill="1" applyBorder="1" applyAlignment="1">
      <alignment horizontal="right" vertical="center" wrapText="1"/>
    </xf>
    <xf numFmtId="0" fontId="11" fillId="2" borderId="6" xfId="16" applyFont="1" applyFill="1" applyBorder="1" applyAlignment="1">
      <alignment horizontal="right" vertical="center" wrapText="1"/>
    </xf>
    <xf numFmtId="0" fontId="18" fillId="0" borderId="0" xfId="16" applyAlignment="1">
      <alignment horizontal="center"/>
    </xf>
    <xf numFmtId="0" fontId="11" fillId="2" borderId="7" xfId="16" applyFont="1" applyFill="1" applyBorder="1" applyAlignment="1">
      <alignment horizontal="center" vertical="center" wrapText="1"/>
    </xf>
    <xf numFmtId="0" fontId="11" fillId="2" borderId="46" xfId="16" applyFont="1" applyFill="1" applyBorder="1" applyAlignment="1">
      <alignment horizontal="center" vertical="center" wrapText="1"/>
    </xf>
    <xf numFmtId="0" fontId="11" fillId="2" borderId="47" xfId="16" applyFont="1" applyFill="1" applyBorder="1" applyAlignment="1">
      <alignment horizontal="center" vertical="center" wrapText="1"/>
    </xf>
    <xf numFmtId="0" fontId="11" fillId="2" borderId="48" xfId="16" applyFont="1" applyFill="1" applyBorder="1" applyAlignment="1">
      <alignment horizontal="center" vertical="center" wrapText="1"/>
    </xf>
    <xf numFmtId="0" fontId="14" fillId="0" borderId="0" xfId="16" applyFont="1" applyAlignment="1">
      <alignment horizontal="center"/>
    </xf>
    <xf numFmtId="0" fontId="13" fillId="0" borderId="0" xfId="16" applyFont="1" applyAlignment="1">
      <alignment horizontal="center"/>
    </xf>
    <xf numFmtId="0" fontId="118" fillId="2" borderId="1" xfId="16" applyFont="1" applyFill="1" applyBorder="1" applyAlignment="1">
      <alignment horizontal="center" vertical="center" wrapText="1"/>
    </xf>
    <xf numFmtId="0" fontId="118" fillId="2" borderId="2" xfId="16" applyFont="1" applyFill="1" applyBorder="1" applyAlignment="1">
      <alignment horizontal="center" vertical="center" wrapText="1"/>
    </xf>
    <xf numFmtId="0" fontId="118" fillId="2" borderId="6" xfId="16" applyFont="1" applyFill="1" applyBorder="1" applyAlignment="1">
      <alignment horizontal="center" vertical="center" wrapText="1"/>
    </xf>
    <xf numFmtId="0" fontId="20" fillId="2" borderId="1" xfId="16" applyFont="1" applyFill="1" applyBorder="1" applyAlignment="1">
      <alignment horizontal="center"/>
    </xf>
    <xf numFmtId="0" fontId="20" fillId="2" borderId="2" xfId="16" applyFont="1" applyFill="1" applyBorder="1" applyAlignment="1">
      <alignment horizontal="center"/>
    </xf>
    <xf numFmtId="0" fontId="20" fillId="2" borderId="6" xfId="16" applyFont="1" applyFill="1" applyBorder="1" applyAlignment="1">
      <alignment horizontal="center"/>
    </xf>
    <xf numFmtId="0" fontId="3" fillId="2" borderId="1" xfId="16" applyFont="1" applyFill="1" applyBorder="1" applyAlignment="1">
      <alignment horizontal="center" vertical="center"/>
    </xf>
    <xf numFmtId="0" fontId="3" fillId="2" borderId="2" xfId="16" applyFont="1" applyFill="1" applyBorder="1" applyAlignment="1">
      <alignment horizontal="center" vertical="center"/>
    </xf>
    <xf numFmtId="0" fontId="3" fillId="2" borderId="6" xfId="16" applyFont="1" applyFill="1" applyBorder="1" applyAlignment="1">
      <alignment horizontal="center" vertical="center"/>
    </xf>
    <xf numFmtId="0" fontId="4" fillId="0" borderId="3" xfId="16" applyFont="1" applyBorder="1" applyAlignment="1">
      <alignment horizontal="center" vertical="center"/>
    </xf>
    <xf numFmtId="0" fontId="4" fillId="0" borderId="0" xfId="16" applyFont="1" applyAlignment="1">
      <alignment horizontal="center" vertical="center"/>
    </xf>
    <xf numFmtId="0" fontId="4" fillId="0" borderId="50" xfId="16" applyFont="1" applyBorder="1" applyAlignment="1">
      <alignment horizontal="center" vertical="center"/>
    </xf>
    <xf numFmtId="0" fontId="101" fillId="0" borderId="1" xfId="16" applyFont="1" applyFill="1" applyBorder="1" applyAlignment="1">
      <alignment horizontal="center" vertical="center" wrapText="1"/>
    </xf>
    <xf numFmtId="0" fontId="101" fillId="0" borderId="2" xfId="16" applyFont="1" applyFill="1" applyBorder="1" applyAlignment="1">
      <alignment horizontal="center" vertical="center" wrapText="1"/>
    </xf>
    <xf numFmtId="0" fontId="101" fillId="0" borderId="6" xfId="16" applyFont="1" applyFill="1" applyBorder="1" applyAlignment="1">
      <alignment horizontal="center" vertical="center" wrapText="1"/>
    </xf>
    <xf numFmtId="0" fontId="8" fillId="0" borderId="5" xfId="16" applyFont="1" applyBorder="1" applyAlignment="1">
      <alignment horizontal="left" vertical="center" wrapText="1"/>
    </xf>
    <xf numFmtId="0" fontId="8" fillId="0" borderId="48" xfId="16" applyFont="1" applyBorder="1" applyAlignment="1">
      <alignment horizontal="left" vertical="center" wrapText="1"/>
    </xf>
    <xf numFmtId="49" fontId="3" fillId="2" borderId="1" xfId="24" applyNumberFormat="1" applyFont="1" applyFill="1" applyBorder="1" applyAlignment="1">
      <alignment horizontal="center" vertical="center"/>
    </xf>
    <xf numFmtId="49" fontId="3" fillId="2" borderId="2" xfId="24" applyNumberFormat="1" applyFont="1" applyFill="1" applyBorder="1" applyAlignment="1">
      <alignment horizontal="center" vertical="center"/>
    </xf>
    <xf numFmtId="49" fontId="3" fillId="2" borderId="6" xfId="24" applyNumberFormat="1" applyFont="1" applyFill="1" applyBorder="1" applyAlignment="1">
      <alignment horizontal="center" vertical="center"/>
    </xf>
    <xf numFmtId="0" fontId="18" fillId="0" borderId="5" xfId="16" applyBorder="1" applyAlignment="1">
      <alignment horizontal="center"/>
    </xf>
    <xf numFmtId="49" fontId="11" fillId="2" borderId="1" xfId="24" applyNumberFormat="1" applyFont="1" applyFill="1" applyBorder="1" applyAlignment="1">
      <alignment horizontal="center" vertical="center"/>
    </xf>
    <xf numFmtId="49" fontId="11" fillId="2" borderId="2" xfId="24" applyNumberFormat="1" applyFont="1" applyFill="1" applyBorder="1" applyAlignment="1">
      <alignment horizontal="center" vertical="center"/>
    </xf>
    <xf numFmtId="49" fontId="11" fillId="2" borderId="6" xfId="24" applyNumberFormat="1" applyFont="1" applyFill="1" applyBorder="1" applyAlignment="1">
      <alignment horizontal="center" vertical="center"/>
    </xf>
    <xf numFmtId="0" fontId="13" fillId="3" borderId="18" xfId="24" applyFont="1" applyFill="1" applyBorder="1" applyAlignment="1">
      <alignment horizontal="center" vertical="center"/>
    </xf>
    <xf numFmtId="0" fontId="13" fillId="3" borderId="19" xfId="24" applyFont="1" applyFill="1" applyBorder="1" applyAlignment="1">
      <alignment horizontal="center" vertical="center"/>
    </xf>
    <xf numFmtId="0" fontId="0" fillId="0" borderId="1" xfId="24" applyFont="1" applyBorder="1" applyAlignment="1">
      <alignment vertical="center"/>
    </xf>
    <xf numFmtId="0" fontId="0" fillId="0" borderId="2" xfId="24" applyFont="1" applyBorder="1" applyAlignment="1">
      <alignment vertical="center"/>
    </xf>
    <xf numFmtId="0" fontId="6" fillId="0" borderId="21" xfId="24" applyFont="1" applyBorder="1" applyAlignment="1">
      <alignment horizontal="justify" vertical="center" wrapText="1"/>
    </xf>
    <xf numFmtId="0" fontId="6" fillId="0" borderId="22" xfId="24" applyFont="1" applyBorder="1" applyAlignment="1">
      <alignment horizontal="justify" vertical="center" wrapText="1"/>
    </xf>
    <xf numFmtId="0" fontId="10" fillId="0" borderId="21" xfId="24" applyFont="1" applyBorder="1" applyAlignment="1">
      <alignment horizontal="center"/>
    </xf>
    <xf numFmtId="0" fontId="10" fillId="0" borderId="23" xfId="24" applyFont="1" applyBorder="1" applyAlignment="1">
      <alignment horizontal="center"/>
    </xf>
    <xf numFmtId="10" fontId="0" fillId="0" borderId="27" xfId="43" applyNumberFormat="1" applyFont="1" applyBorder="1" applyAlignment="1">
      <alignment horizontal="center" vertical="center"/>
    </xf>
    <xf numFmtId="10" fontId="0" fillId="0" borderId="28" xfId="43" applyNumberFormat="1" applyFont="1" applyBorder="1" applyAlignment="1">
      <alignment horizontal="center" vertical="center"/>
    </xf>
    <xf numFmtId="0" fontId="6" fillId="0" borderId="29" xfId="24" applyFont="1" applyBorder="1" applyAlignment="1">
      <alignment horizontal="right" vertical="center"/>
    </xf>
    <xf numFmtId="0" fontId="6" fillId="0" borderId="19" xfId="24" applyFont="1" applyBorder="1" applyAlignment="1">
      <alignment horizontal="right" vertical="center"/>
    </xf>
    <xf numFmtId="10" fontId="0" fillId="0" borderId="18" xfId="43" applyNumberFormat="1" applyFont="1" applyBorder="1" applyAlignment="1">
      <alignment horizontal="center" vertical="center"/>
    </xf>
    <xf numFmtId="10" fontId="0" fillId="0" borderId="19" xfId="43" applyNumberFormat="1" applyFont="1" applyBorder="1" applyAlignment="1">
      <alignment horizontal="center" vertical="center"/>
    </xf>
    <xf numFmtId="0" fontId="0" fillId="0" borderId="1" xfId="24" applyFont="1" applyBorder="1" applyAlignment="1">
      <alignment horizontal="center" vertical="center"/>
    </xf>
    <xf numFmtId="0" fontId="0" fillId="0" borderId="2" xfId="24" applyFont="1" applyBorder="1" applyAlignment="1">
      <alignment horizontal="center" vertical="center"/>
    </xf>
    <xf numFmtId="10" fontId="0" fillId="0" borderId="21" xfId="43" applyNumberFormat="1" applyFont="1" applyBorder="1" applyAlignment="1">
      <alignment horizontal="center" vertical="center"/>
    </xf>
    <xf numFmtId="10" fontId="0" fillId="0" borderId="23" xfId="43" applyNumberFormat="1" applyFont="1" applyBorder="1" applyAlignment="1">
      <alignment horizontal="center" vertical="center"/>
    </xf>
    <xf numFmtId="10" fontId="14" fillId="0" borderId="33" xfId="43" applyNumberFormat="1" applyFont="1" applyBorder="1" applyAlignment="1">
      <alignment horizontal="center" vertical="center" wrapText="1"/>
    </xf>
    <xf numFmtId="10" fontId="14" fillId="0" borderId="14" xfId="43" applyNumberFormat="1" applyFont="1" applyBorder="1" applyAlignment="1">
      <alignment horizontal="center" vertical="center" wrapText="1"/>
    </xf>
    <xf numFmtId="0" fontId="15" fillId="0" borderId="39" xfId="24" applyFont="1" applyBorder="1" applyAlignment="1">
      <alignment horizontal="center" vertical="center" wrapText="1"/>
    </xf>
    <xf numFmtId="0" fontId="15" fillId="0" borderId="16" xfId="24" applyFont="1" applyBorder="1" applyAlignment="1">
      <alignment horizontal="center" vertical="center" wrapText="1"/>
    </xf>
    <xf numFmtId="0" fontId="6" fillId="0" borderId="7" xfId="24" applyFont="1" applyFill="1" applyBorder="1" applyAlignment="1">
      <alignment horizontal="center" vertical="center"/>
    </xf>
    <xf numFmtId="0" fontId="6" fillId="0" borderId="8" xfId="24" applyFont="1" applyFill="1" applyBorder="1" applyAlignment="1">
      <alignment horizontal="center" vertical="center"/>
    </xf>
    <xf numFmtId="0" fontId="6" fillId="0" borderId="46" xfId="24" applyFont="1" applyFill="1" applyBorder="1" applyAlignment="1">
      <alignment horizontal="center" vertical="center"/>
    </xf>
    <xf numFmtId="0" fontId="6" fillId="0" borderId="47" xfId="24" applyFont="1" applyFill="1" applyBorder="1" applyAlignment="1">
      <alignment horizontal="center" vertical="center"/>
    </xf>
    <xf numFmtId="0" fontId="6" fillId="0" borderId="5" xfId="24" applyFont="1" applyFill="1" applyBorder="1" applyAlignment="1">
      <alignment horizontal="center" vertical="center"/>
    </xf>
    <xf numFmtId="0" fontId="6" fillId="0" borderId="48" xfId="24" applyFont="1" applyFill="1" applyBorder="1" applyAlignment="1">
      <alignment horizontal="center" vertical="center"/>
    </xf>
    <xf numFmtId="0" fontId="5" fillId="2" borderId="7" xfId="24" applyFont="1" applyFill="1" applyBorder="1" applyAlignment="1">
      <alignment horizontal="center" vertical="center"/>
    </xf>
    <xf numFmtId="0" fontId="5" fillId="2" borderId="49" xfId="24" applyFont="1" applyFill="1" applyBorder="1" applyAlignment="1">
      <alignment horizontal="center" vertical="center"/>
    </xf>
    <xf numFmtId="0" fontId="5" fillId="2" borderId="47" xfId="24" applyFont="1" applyFill="1" applyBorder="1" applyAlignment="1">
      <alignment horizontal="center" vertical="center"/>
    </xf>
    <xf numFmtId="0" fontId="5" fillId="2" borderId="37" xfId="24" applyFont="1" applyFill="1" applyBorder="1" applyAlignment="1">
      <alignment horizontal="center" vertical="center"/>
    </xf>
    <xf numFmtId="0" fontId="15" fillId="0" borderId="34" xfId="24" applyFont="1" applyBorder="1" applyAlignment="1">
      <alignment horizontal="center" vertical="center" wrapText="1"/>
    </xf>
    <xf numFmtId="0" fontId="15" fillId="0" borderId="35" xfId="24" applyFont="1" applyBorder="1" applyAlignment="1">
      <alignment horizontal="center" vertical="center" wrapText="1"/>
    </xf>
    <xf numFmtId="0" fontId="15" fillId="0" borderId="36" xfId="24" applyFont="1" applyBorder="1" applyAlignment="1">
      <alignment horizontal="center" vertical="center" wrapText="1"/>
    </xf>
    <xf numFmtId="0" fontId="15" fillId="0" borderId="37" xfId="24" applyFont="1" applyBorder="1" applyAlignment="1">
      <alignment horizontal="center" vertical="center" wrapText="1"/>
    </xf>
    <xf numFmtId="49" fontId="12" fillId="2" borderId="7" xfId="24" applyNumberFormat="1" applyFont="1" applyFill="1" applyBorder="1" applyAlignment="1">
      <alignment horizontal="center" vertical="center" wrapText="1"/>
    </xf>
    <xf numFmtId="49" fontId="12" fillId="2" borderId="8" xfId="24" applyNumberFormat="1" applyFont="1" applyFill="1" applyBorder="1" applyAlignment="1">
      <alignment horizontal="center" vertical="center" wrapText="1"/>
    </xf>
    <xf numFmtId="49" fontId="12" fillId="2" borderId="46" xfId="24" applyNumberFormat="1" applyFont="1" applyFill="1" applyBorder="1" applyAlignment="1">
      <alignment horizontal="center" vertical="center" wrapText="1"/>
    </xf>
    <xf numFmtId="49" fontId="12" fillId="2" borderId="12" xfId="24" applyNumberFormat="1" applyFont="1" applyFill="1" applyBorder="1" applyAlignment="1">
      <alignment horizontal="center" vertical="center" wrapText="1"/>
    </xf>
    <xf numFmtId="49" fontId="12" fillId="2" borderId="13" xfId="24" applyNumberFormat="1" applyFont="1" applyFill="1" applyBorder="1" applyAlignment="1">
      <alignment horizontal="center" vertical="center" wrapText="1"/>
    </xf>
    <xf numFmtId="49" fontId="12" fillId="2" borderId="51" xfId="24" applyNumberFormat="1" applyFont="1" applyFill="1" applyBorder="1" applyAlignment="1">
      <alignment horizontal="center" vertical="center" wrapText="1"/>
    </xf>
    <xf numFmtId="49" fontId="13" fillId="5" borderId="7" xfId="24" applyNumberFormat="1" applyFont="1" applyFill="1" applyBorder="1" applyAlignment="1">
      <alignment horizontal="center" vertical="center" wrapText="1"/>
    </xf>
    <xf numFmtId="49" fontId="13" fillId="5" borderId="8" xfId="24" applyNumberFormat="1" applyFont="1" applyFill="1" applyBorder="1" applyAlignment="1">
      <alignment horizontal="center" vertical="center" wrapText="1"/>
    </xf>
    <xf numFmtId="49" fontId="13" fillId="5" borderId="46" xfId="24" applyNumberFormat="1" applyFont="1" applyFill="1" applyBorder="1" applyAlignment="1">
      <alignment horizontal="center" vertical="center" wrapText="1"/>
    </xf>
    <xf numFmtId="49" fontId="13" fillId="5" borderId="12" xfId="24" applyNumberFormat="1" applyFont="1" applyFill="1" applyBorder="1" applyAlignment="1">
      <alignment horizontal="center" vertical="center" wrapText="1"/>
    </xf>
    <xf numFmtId="49" fontId="13" fillId="5" borderId="13" xfId="24" applyNumberFormat="1" applyFont="1" applyFill="1" applyBorder="1" applyAlignment="1">
      <alignment horizontal="center" vertical="center" wrapText="1"/>
    </xf>
    <xf numFmtId="49" fontId="13" fillId="5" borderId="51" xfId="24" applyNumberFormat="1" applyFont="1" applyFill="1" applyBorder="1" applyAlignment="1">
      <alignment horizontal="center" vertical="center" wrapText="1"/>
    </xf>
    <xf numFmtId="0" fontId="0" fillId="0" borderId="7" xfId="24" applyFont="1" applyBorder="1" applyAlignment="1">
      <alignment horizontal="center" vertical="center"/>
    </xf>
    <xf numFmtId="0" fontId="0" fillId="0" borderId="8" xfId="24" applyFont="1" applyBorder="1" applyAlignment="1">
      <alignment horizontal="center" vertical="center"/>
    </xf>
    <xf numFmtId="0" fontId="13" fillId="0" borderId="9" xfId="24" applyFont="1" applyBorder="1" applyAlignment="1">
      <alignment horizontal="center" vertical="center"/>
    </xf>
    <xf numFmtId="0" fontId="13" fillId="0" borderId="14" xfId="24" applyFont="1" applyBorder="1" applyAlignment="1">
      <alignment horizontal="center" vertical="center"/>
    </xf>
    <xf numFmtId="0" fontId="0" fillId="0" borderId="33" xfId="24" applyFont="1" applyBorder="1" applyAlignment="1">
      <alignment horizontal="center" vertical="center"/>
    </xf>
    <xf numFmtId="0" fontId="0" fillId="0" borderId="40" xfId="24" applyFont="1" applyBorder="1" applyAlignment="1">
      <alignment horizontal="center" vertical="center"/>
    </xf>
    <xf numFmtId="0" fontId="13" fillId="0" borderId="10" xfId="24" applyFont="1" applyBorder="1" applyAlignment="1">
      <alignment horizontal="center" vertical="center"/>
    </xf>
    <xf numFmtId="0" fontId="13" fillId="0" borderId="15" xfId="24" applyFont="1" applyBorder="1" applyAlignment="1">
      <alignment horizontal="center" vertical="center"/>
    </xf>
    <xf numFmtId="0" fontId="0" fillId="0" borderId="38" xfId="24" applyFont="1" applyBorder="1" applyAlignment="1">
      <alignment horizontal="left" vertical="center"/>
    </xf>
    <xf numFmtId="0" fontId="0" fillId="0" borderId="41" xfId="24" applyFont="1" applyBorder="1" applyAlignment="1">
      <alignment horizontal="left" vertical="center"/>
    </xf>
    <xf numFmtId="0" fontId="13" fillId="0" borderId="11" xfId="24" applyFont="1" applyBorder="1" applyAlignment="1">
      <alignment horizontal="center" vertical="center"/>
    </xf>
    <xf numFmtId="0" fontId="13" fillId="0" borderId="16" xfId="24" applyFont="1" applyBorder="1" applyAlignment="1">
      <alignment horizontal="center" vertical="center"/>
    </xf>
    <xf numFmtId="10" fontId="0" fillId="0" borderId="39" xfId="43" applyNumberFormat="1" applyFont="1" applyFill="1" applyBorder="1" applyAlignment="1" applyProtection="1">
      <alignment horizontal="center" vertical="center"/>
      <protection locked="0"/>
    </xf>
    <xf numFmtId="10" fontId="0" fillId="0" borderId="42" xfId="43" applyNumberFormat="1" applyFont="1" applyFill="1" applyBorder="1" applyAlignment="1" applyProtection="1">
      <alignment horizontal="center" vertical="center"/>
      <protection locked="0"/>
    </xf>
    <xf numFmtId="49" fontId="12" fillId="2" borderId="31" xfId="24" applyNumberFormat="1" applyFont="1" applyFill="1" applyBorder="1" applyAlignment="1">
      <alignment horizontal="center" vertical="center" wrapText="1"/>
    </xf>
    <xf numFmtId="49" fontId="12" fillId="2" borderId="32" xfId="24" applyNumberFormat="1" applyFont="1" applyFill="1" applyBorder="1" applyAlignment="1">
      <alignment horizontal="center" vertical="center" wrapText="1"/>
    </xf>
    <xf numFmtId="49" fontId="12" fillId="2" borderId="22" xfId="24" applyNumberFormat="1" applyFont="1" applyFill="1" applyBorder="1" applyAlignment="1">
      <alignment horizontal="center" vertical="center" wrapText="1"/>
    </xf>
    <xf numFmtId="10" fontId="0" fillId="0" borderId="44" xfId="43" applyNumberFormat="1" applyFont="1" applyBorder="1" applyAlignment="1">
      <alignment horizontal="center" vertical="center"/>
    </xf>
    <xf numFmtId="10" fontId="0" fillId="0" borderId="45" xfId="43" applyNumberFormat="1" applyFont="1" applyBorder="1" applyAlignment="1">
      <alignment horizontal="center" vertical="center"/>
    </xf>
    <xf numFmtId="0" fontId="43" fillId="3" borderId="7" xfId="0" applyFont="1" applyFill="1" applyBorder="1" applyAlignment="1">
      <alignment horizontal="center" vertical="center"/>
    </xf>
    <xf numFmtId="0" fontId="43" fillId="3" borderId="8" xfId="0" applyFont="1" applyFill="1" applyBorder="1" applyAlignment="1">
      <alignment horizontal="center" vertical="center"/>
    </xf>
    <xf numFmtId="0" fontId="43" fillId="3" borderId="46" xfId="0" applyFont="1" applyFill="1" applyBorder="1" applyAlignment="1">
      <alignment horizontal="center" vertical="center"/>
    </xf>
    <xf numFmtId="0" fontId="108" fillId="3" borderId="0" xfId="0" applyFont="1" applyFill="1" applyBorder="1" applyAlignment="1">
      <alignment horizontal="right" vertical="center" wrapText="1"/>
    </xf>
    <xf numFmtId="10" fontId="108" fillId="3" borderId="50" xfId="3" applyNumberFormat="1" applyFont="1" applyFill="1" applyBorder="1" applyAlignment="1">
      <alignment horizontal="center" vertical="center" wrapText="1"/>
    </xf>
    <xf numFmtId="0" fontId="119" fillId="2" borderId="7" xfId="0" applyFont="1" applyFill="1" applyBorder="1" applyAlignment="1">
      <alignment horizontal="center" vertical="center"/>
    </xf>
    <xf numFmtId="0" fontId="120" fillId="2" borderId="1" xfId="16" applyFont="1" applyFill="1" applyBorder="1" applyAlignment="1">
      <alignment horizontal="center" vertical="center" wrapText="1"/>
    </xf>
    <xf numFmtId="0" fontId="121" fillId="2" borderId="7" xfId="0" applyFont="1" applyFill="1" applyBorder="1" applyAlignment="1">
      <alignment horizontal="center" vertical="center"/>
    </xf>
    <xf numFmtId="0" fontId="105" fillId="8" borderId="56" xfId="25" applyFont="1" applyFill="1" applyBorder="1" applyAlignment="1">
      <alignment vertical="center"/>
    </xf>
    <xf numFmtId="0" fontId="105" fillId="8" borderId="0" xfId="25" applyFont="1" applyFill="1" applyAlignment="1">
      <alignment vertical="center"/>
    </xf>
    <xf numFmtId="172" fontId="106" fillId="8" borderId="0" xfId="44" applyFont="1" applyFill="1" applyBorder="1" applyAlignment="1" applyProtection="1">
      <alignment horizontal="center" vertical="center"/>
    </xf>
    <xf numFmtId="44" fontId="122" fillId="8" borderId="57" xfId="44" applyNumberFormat="1" applyFont="1" applyFill="1" applyBorder="1" applyAlignment="1" applyProtection="1">
      <alignment horizontal="right" vertical="center"/>
    </xf>
    <xf numFmtId="184" fontId="106" fillId="8" borderId="0" xfId="44" applyNumberFormat="1" applyFont="1" applyFill="1" applyBorder="1" applyAlignment="1" applyProtection="1">
      <alignment horizontal="center" vertical="center"/>
    </xf>
    <xf numFmtId="0" fontId="105" fillId="8" borderId="56" xfId="25" applyFont="1" applyFill="1" applyBorder="1" applyAlignment="1">
      <alignment horizontal="left" vertical="center"/>
    </xf>
    <xf numFmtId="0" fontId="105" fillId="8" borderId="0" xfId="25" applyFont="1" applyFill="1" applyAlignment="1">
      <alignment horizontal="left" vertical="center"/>
    </xf>
    <xf numFmtId="0" fontId="105" fillId="8" borderId="0" xfId="25" applyFont="1" applyFill="1" applyAlignment="1">
      <alignment horizontal="left" vertical="center"/>
    </xf>
    <xf numFmtId="0" fontId="105" fillId="8" borderId="0" xfId="25" applyFont="1" applyFill="1" applyAlignment="1">
      <alignment horizontal="center" vertical="center"/>
    </xf>
    <xf numFmtId="184" fontId="106" fillId="8" borderId="0" xfId="44" applyNumberFormat="1" applyFont="1" applyFill="1" applyBorder="1" applyAlignment="1" applyProtection="1">
      <alignment vertical="center"/>
    </xf>
    <xf numFmtId="184" fontId="122" fillId="8" borderId="57" xfId="44" applyNumberFormat="1" applyFont="1" applyFill="1" applyBorder="1" applyAlignment="1" applyProtection="1">
      <alignment horizontal="right" vertical="center"/>
    </xf>
    <xf numFmtId="0" fontId="99" fillId="2" borderId="1" xfId="21" applyFont="1" applyFill="1" applyBorder="1" applyAlignment="1">
      <alignment horizontal="center" vertical="center"/>
    </xf>
    <xf numFmtId="0" fontId="118" fillId="9" borderId="25" xfId="29" applyFont="1" applyFill="1" applyBorder="1" applyAlignment="1">
      <alignment horizontal="center" vertical="center"/>
    </xf>
    <xf numFmtId="0" fontId="123" fillId="2" borderId="1" xfId="0" applyFont="1" applyFill="1" applyBorder="1" applyAlignment="1">
      <alignment horizontal="center" vertical="center"/>
    </xf>
  </cellXfs>
  <cellStyles count="45">
    <cellStyle name="Moeda" xfId="2" builtinId="4"/>
    <cellStyle name="Moeda 2" xfId="4" xr:uid="{00000000-0005-0000-0000-000031000000}"/>
    <cellStyle name="Moeda 2 2" xfId="5" xr:uid="{00000000-0005-0000-0000-000032000000}"/>
    <cellStyle name="Moeda 2 3" xfId="6" xr:uid="{00000000-0005-0000-0000-000033000000}"/>
    <cellStyle name="Moeda 3" xfId="7" xr:uid="{00000000-0005-0000-0000-000034000000}"/>
    <cellStyle name="Moeda 4" xfId="8" xr:uid="{00000000-0005-0000-0000-000035000000}"/>
    <cellStyle name="Moeda 5" xfId="9" xr:uid="{00000000-0005-0000-0000-000036000000}"/>
    <cellStyle name="Normal" xfId="0" builtinId="0"/>
    <cellStyle name="Normal 10" xfId="10" xr:uid="{00000000-0005-0000-0000-000037000000}"/>
    <cellStyle name="Normal 11" xfId="11" xr:uid="{00000000-0005-0000-0000-000038000000}"/>
    <cellStyle name="Normal 13" xfId="12" xr:uid="{00000000-0005-0000-0000-000039000000}"/>
    <cellStyle name="Normal 2" xfId="13" xr:uid="{00000000-0005-0000-0000-00003A000000}"/>
    <cellStyle name="Normal 2 2" xfId="14" xr:uid="{00000000-0005-0000-0000-00003B000000}"/>
    <cellStyle name="Normal 2 2 2" xfId="15" xr:uid="{00000000-0005-0000-0000-00003C000000}"/>
    <cellStyle name="Normal 2 2 3" xfId="16" xr:uid="{00000000-0005-0000-0000-00003D000000}"/>
    <cellStyle name="Normal 2 3" xfId="17" xr:uid="{00000000-0005-0000-0000-00003E000000}"/>
    <cellStyle name="Normal 2 4" xfId="18" xr:uid="{00000000-0005-0000-0000-00003F000000}"/>
    <cellStyle name="Normal 2 5" xfId="19" xr:uid="{00000000-0005-0000-0000-000040000000}"/>
    <cellStyle name="Normal 3" xfId="20" xr:uid="{00000000-0005-0000-0000-000041000000}"/>
    <cellStyle name="Normal 4" xfId="21" xr:uid="{00000000-0005-0000-0000-000042000000}"/>
    <cellStyle name="Normal 5" xfId="22" xr:uid="{00000000-0005-0000-0000-000043000000}"/>
    <cellStyle name="Normal 6" xfId="23" xr:uid="{00000000-0005-0000-0000-000044000000}"/>
    <cellStyle name="Normal 6 2" xfId="24" xr:uid="{00000000-0005-0000-0000-000045000000}"/>
    <cellStyle name="Normal 9" xfId="25" xr:uid="{00000000-0005-0000-0000-000046000000}"/>
    <cellStyle name="Normal_Pesquisa no referencial 10 de maio de 2013" xfId="26" xr:uid="{00000000-0005-0000-0000-000047000000}"/>
    <cellStyle name="Normal_PP-2A" xfId="27" xr:uid="{00000000-0005-0000-0000-000048000000}"/>
    <cellStyle name="Normal_PP-III" xfId="28" xr:uid="{00000000-0005-0000-0000-000049000000}"/>
    <cellStyle name="Normal_PP-VI" xfId="29" xr:uid="{00000000-0005-0000-0000-00004A000000}"/>
    <cellStyle name="Porcentagem" xfId="3" builtinId="5"/>
    <cellStyle name="Porcentagem 2" xfId="30" xr:uid="{00000000-0005-0000-0000-00004B000000}"/>
    <cellStyle name="Porcentagem 3" xfId="31" xr:uid="{00000000-0005-0000-0000-00004C000000}"/>
    <cellStyle name="Separador de milhares 2" xfId="32" xr:uid="{00000000-0005-0000-0000-00004D000000}"/>
    <cellStyle name="Separador de milhares 2 2" xfId="33" xr:uid="{00000000-0005-0000-0000-00004E000000}"/>
    <cellStyle name="Separador de milhares 2 2 2" xfId="34" xr:uid="{00000000-0005-0000-0000-00004F000000}"/>
    <cellStyle name="Separador de milhares 3" xfId="35" xr:uid="{00000000-0005-0000-0000-000050000000}"/>
    <cellStyle name="Separador de milhares 4" xfId="36" xr:uid="{00000000-0005-0000-0000-000051000000}"/>
    <cellStyle name="Separador de milhares 5" xfId="37" xr:uid="{00000000-0005-0000-0000-000052000000}"/>
    <cellStyle name="Separador de milhares 6" xfId="38" xr:uid="{00000000-0005-0000-0000-000053000000}"/>
    <cellStyle name="Separador de milhares 7" xfId="39" xr:uid="{00000000-0005-0000-0000-000054000000}"/>
    <cellStyle name="Vírgula" xfId="1" builtinId="3"/>
    <cellStyle name="Vírgula 2" xfId="40" xr:uid="{00000000-0005-0000-0000-000055000000}"/>
    <cellStyle name="Vírgula 3" xfId="41" xr:uid="{00000000-0005-0000-0000-000056000000}"/>
    <cellStyle name="Vírgula 6" xfId="42" xr:uid="{00000000-0005-0000-0000-000057000000}"/>
    <cellStyle name="Vírgula 6 2" xfId="43" xr:uid="{00000000-0005-0000-0000-000058000000}"/>
    <cellStyle name="Vírgula 9" xfId="44" xr:uid="{00000000-0005-0000-0000-000059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7E4BD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BF1DE"/>
      <rgbColor rgb="00C3D69B"/>
      <rgbColor rgb="00B7DEE8"/>
      <rgbColor rgb="00FF9999"/>
      <rgbColor rgb="00BFBFBF"/>
      <rgbColor rgb="00E6B9B8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00"/>
      <color rgb="FFF9FDD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externalLink" Target="externalLinks/externalLink10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114300</xdr:rowOff>
    </xdr:from>
    <xdr:to>
      <xdr:col>1</xdr:col>
      <xdr:colOff>563245</xdr:colOff>
      <xdr:row>2</xdr:row>
      <xdr:rowOff>66675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85725" y="114300"/>
          <a:ext cx="1087120" cy="3333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38101</xdr:colOff>
      <xdr:row>0</xdr:row>
      <xdr:rowOff>114300</xdr:rowOff>
    </xdr:from>
    <xdr:to>
      <xdr:col>3</xdr:col>
      <xdr:colOff>1205781</xdr:colOff>
      <xdr:row>2</xdr:row>
      <xdr:rowOff>42450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4619625" y="114300"/>
          <a:ext cx="116713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5400</xdr:colOff>
      <xdr:row>2</xdr:row>
      <xdr:rowOff>156882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2719705" cy="633095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826920</xdr:colOff>
      <xdr:row>38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0" y="0"/>
          <a:ext cx="10227945" cy="132873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826920</xdr:colOff>
      <xdr:row>38</xdr:row>
      <xdr:rowOff>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0" y="0"/>
          <a:ext cx="10227945" cy="132873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0" y="0"/>
          <a:ext cx="10227945" cy="132873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38</xdr:row>
      <xdr:rowOff>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0"/>
          <a:ext cx="10227945" cy="132873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5400</xdr:colOff>
      <xdr:row>2</xdr:row>
      <xdr:rowOff>156882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2900680" cy="518795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826920</xdr:colOff>
      <xdr:row>39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10408920" cy="1232535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826920</xdr:colOff>
      <xdr:row>39</xdr:row>
      <xdr:rowOff>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0" y="0"/>
          <a:ext cx="10408920" cy="1232535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39</xdr:row>
      <xdr:rowOff>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0" y="0"/>
          <a:ext cx="10408920" cy="1232535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827280</xdr:colOff>
      <xdr:row>39</xdr:row>
      <xdr:rowOff>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0" y="0"/>
          <a:ext cx="10408920" cy="1232535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789209</xdr:colOff>
      <xdr:row>0</xdr:row>
      <xdr:rowOff>54429</xdr:rowOff>
    </xdr:from>
    <xdr:to>
      <xdr:col>17</xdr:col>
      <xdr:colOff>1513109</xdr:colOff>
      <xdr:row>0</xdr:row>
      <xdr:rowOff>557893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21515070" y="53975"/>
          <a:ext cx="1847850" cy="5035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89648</xdr:colOff>
      <xdr:row>0</xdr:row>
      <xdr:rowOff>56028</xdr:rowOff>
    </xdr:from>
    <xdr:to>
      <xdr:col>1</xdr:col>
      <xdr:colOff>1255060</xdr:colOff>
      <xdr:row>2</xdr:row>
      <xdr:rowOff>11021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535" y="55880"/>
          <a:ext cx="1774825" cy="431165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826920</xdr:colOff>
      <xdr:row>26</xdr:row>
      <xdr:rowOff>0</xdr:rowOff>
    </xdr:to>
    <xdr:sp macro="" textlink="">
      <xdr:nvSpPr>
        <xdr:cNvPr id="3" name="CustomShape 1" hidden="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0" y="0"/>
          <a:ext cx="8884920" cy="99345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826920</xdr:colOff>
      <xdr:row>26</xdr:row>
      <xdr:rowOff>0</xdr:rowOff>
    </xdr:to>
    <xdr:sp macro="" textlink="">
      <xdr:nvSpPr>
        <xdr:cNvPr id="4" name="CustomShape 1" hidden="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0" y="0"/>
          <a:ext cx="8884920" cy="99345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827280</xdr:colOff>
      <xdr:row>26</xdr:row>
      <xdr:rowOff>0</xdr:rowOff>
    </xdr:to>
    <xdr:sp macro="" textlink="">
      <xdr:nvSpPr>
        <xdr:cNvPr id="5" name="CustomShape 1" hidden="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0" y="0"/>
          <a:ext cx="8884920" cy="99345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827280</xdr:colOff>
      <xdr:row>26</xdr:row>
      <xdr:rowOff>0</xdr:rowOff>
    </xdr:to>
    <xdr:sp macro="" textlink="">
      <xdr:nvSpPr>
        <xdr:cNvPr id="6" name="CustomShape 1" hidden="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0" y="0"/>
          <a:ext cx="8884920" cy="9934575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112056</xdr:colOff>
      <xdr:row>0</xdr:row>
      <xdr:rowOff>110885</xdr:rowOff>
    </xdr:from>
    <xdr:to>
      <xdr:col>8</xdr:col>
      <xdr:colOff>1288616</xdr:colOff>
      <xdr:row>2</xdr:row>
      <xdr:rowOff>139473</xdr:rowOff>
    </xdr:to>
    <xdr:pic>
      <xdr:nvPicPr>
        <xdr:cNvPr id="3" name="Objec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217785" y="110490"/>
          <a:ext cx="2062480" cy="42862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0</xdr:row>
      <xdr:rowOff>57150</xdr:rowOff>
    </xdr:from>
    <xdr:to>
      <xdr:col>3</xdr:col>
      <xdr:colOff>114300</xdr:colOff>
      <xdr:row>2</xdr:row>
      <xdr:rowOff>142875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42900" y="57150"/>
          <a:ext cx="2428875" cy="409575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65943</xdr:colOff>
      <xdr:row>0</xdr:row>
      <xdr:rowOff>43962</xdr:rowOff>
    </xdr:from>
    <xdr:to>
      <xdr:col>6</xdr:col>
      <xdr:colOff>1236785</xdr:colOff>
      <xdr:row>0</xdr:row>
      <xdr:rowOff>452072</xdr:rowOff>
    </xdr:to>
    <xdr:pic>
      <xdr:nvPicPr>
        <xdr:cNvPr id="2" name="Object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61630" y="43815"/>
          <a:ext cx="2428240" cy="407670"/>
        </a:xfrm>
        <a:prstGeom prst="rect">
          <a:avLst/>
        </a:prstGeom>
        <a:blipFill dpi="0" rotWithShape="0"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19081</xdr:colOff>
      <xdr:row>0</xdr:row>
      <xdr:rowOff>0</xdr:rowOff>
    </xdr:from>
    <xdr:to>
      <xdr:col>2</xdr:col>
      <xdr:colOff>142875</xdr:colOff>
      <xdr:row>1</xdr:row>
      <xdr:rowOff>171450</xdr:rowOff>
    </xdr:to>
    <xdr:pic>
      <xdr:nvPicPr>
        <xdr:cNvPr id="34" name="Picture 3">
          <a:extLst>
            <a:ext uri="{FF2B5EF4-FFF2-40B4-BE49-F238E27FC236}">
              <a16:creationId xmlns:a16="http://schemas.microsoft.com/office/drawing/2014/main" id="{00000000-0008-0000-0A00-00002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0"/>
          <a:ext cx="1943100" cy="371475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\LAGHI%20ENGENHARIA\Clientes\100%20DNIT\3-Acesso-PresidenteFigueiredo-BR174\Entrega%209-12-2005\Or&#231;amento\Documents%20and%20Settings\C%20arlos%20%20Machado\My%20Documents\Disco%201\BR-262-MS(3)\Anexos%20PGQ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2001\SIMG-DF\DNIT\08.%20PNCV\6.%20DESENVOLVIMENTO\Ficha%20de%20Insumo\EQUIPAMENTOS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TO%20DE%20EXPANS&#195;O\Plano%20Diretor%20de%20Obras\Planodiretor4b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10.1.50.61\Armazenamento\2&#170;_GRD\05-LICITA&#199;&#213;ES%202023\29-REGULARIZA&#199;&#195;O%20DE%20SUBLEITO%20E%20REVESTIMENTO%20PRIM&#193;RIO\01%20-%20ARQUIVOS%20EDIT&#193;VEIS\07%20-%20Planilha%20para%20Recupera&#231;&#227;o%20Adequa&#231;&#227;o%20e%20Revestimento%20Prim&#225;rio%20de%20Estradas%20Vicinais_27.09.2023_ok.xlsx?04B753A0" TargetMode="External"/><Relationship Id="rId1" Type="http://schemas.openxmlformats.org/officeDocument/2006/relationships/externalLinkPath" Target="file:///\\04B753A0\07%20-%20Planilha%20para%20Recupera&#231;&#227;o%20Adequa&#231;&#227;o%20e%20Revestimento%20Prim&#225;rio%20de%20Estradas%20Vicinais_27.09.2023_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engefix\engefix\Meus%20documentos\Documentos_Empresa\Modelo_Or&#231;amento_Armand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44.2\SR%20-%20P&#250;blica\edgar\IMPORTANTE\LICIT\NOLASCO\NOLASC~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SM1\SharedDocs\edgar\IMPORTANTE\LICIT\NOLASCO\NOLASC~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lsbsbvpr0001\SIMG-DF\personal\felipe_santana_fgv_br\Documents\Revis&#227;o%20dos%20Grupos%20-%20Tratores,%20Carregadeiras%20e%20Escavadeiras\Apoio\2020%2006%2029%20Proposta%20de%20novo%20formato%20RT%20revis&#227;o%20CCU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132.27\P&#250;blica\Documents%20and%20Settings\tarcisio.junior\Meus%20documentos\Tarc&#237;sio%20Jr\Processos%20em%20an&#225;lise\2009\Gilbu&#233;s%20706898-2009%20Estrada_Vicinal\An&#225;lise%20de%20Custos%20-%20Gilbu&#233;s%2016_11_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os\2020%2009%2002%20Alice%20Confer&#234;ncia%20BD\2020%2009%2018%20I.01.1%204&#186;RT%2050-10.2019_Ap&#234;ndice%20A_Mem&#243;ri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  <sheetName val="Model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pamentos"/>
      <sheetName val="Teor"/>
      <sheetName val="Anexos PGQ"/>
      <sheetName val="2.3"/>
      <sheetName val="Orçamento Global"/>
      <sheetName val="PRO-08"/>
      <sheetName val="Analítico CCUs"/>
      <sheetName val="Insumos"/>
      <sheetName val="QuQuant"/>
      <sheetName val="Tabela Abril 2000"/>
      <sheetName val="TABELA"/>
      <sheetName val="PSCEGERAL"/>
      <sheetName val="Dados"/>
      <sheetName val="Planilha"/>
      <sheetName val="P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 pai"/>
      <sheetName val="Equipamento filho 1"/>
      <sheetName val="Equipamento filho 2"/>
      <sheetName val="Análise Comparativa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"/>
      <sheetName val="Ins Bas"/>
      <sheetName val="Ins Hidro"/>
      <sheetName val="Ins"/>
      <sheetName val="Ins Acab"/>
      <sheetName val="Ins Elet"/>
      <sheetName val="Resumo"/>
      <sheetName val="Módulo1"/>
      <sheetName val="Módulo2"/>
      <sheetName val="Geral"/>
      <sheetName val="GERAL I"/>
      <sheetName val="Estacas Escavadas "/>
      <sheetName val="Calcinacao"/>
      <sheetName val="Estacas Pre-Moldada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/>
      <sheetData sheetId="12"/>
      <sheetData sheetId="1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LOBAL"/>
      <sheetName val="MÓDULO MÍNIMO"/>
      <sheetName val="MEMÓRIA DE CÁLCULOS"/>
      <sheetName val="CRONO FISICO-FINANCEIRO"/>
      <sheetName val="COMPOSIÇÕES SICRO"/>
      <sheetName val="COMPOSIÇÕES SINAPI"/>
      <sheetName val="COMPOSIÇÕES ORSE"/>
      <sheetName val="CUSTOS SICRO - SINAPI - ORSE"/>
      <sheetName val="Mobilização"/>
      <sheetName val="DET. ENCARGOS"/>
      <sheetName val="B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8">
          <cell r="F28">
            <v>9799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RON.NOVO.ARIPUANA"/>
      <sheetName val="Custo do CM-30"/>
      <sheetName val="Cálculo"/>
      <sheetName val="Quadro + Gráfico"/>
      <sheetName val="Viga_Benkellman"/>
      <sheetName val="Conc 20"/>
      <sheetName val="memória de calculo_liquida"/>
      <sheetName val="Preços"/>
      <sheetName val="Desp. Apoio"/>
      <sheetName val="Proposta"/>
      <sheetName val="Carimbo de Nota"/>
      <sheetName val="Fresagem de Pista Ago-98"/>
      <sheetName val="P3"/>
      <sheetName val="PLANILHA ATUALIZADA"/>
      <sheetName val="Auxiliar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Base"/>
      <sheetName val="Comp"/>
      <sheetName val="Ins Bas"/>
      <sheetName val="Ins Hidro"/>
      <sheetName val="Ins"/>
      <sheetName val="Ins Acab"/>
      <sheetName val="Ins Elet"/>
      <sheetName val="Ins Dados"/>
      <sheetName val="Resumo"/>
      <sheetName val="Módulo1"/>
      <sheetName val="Módulo2"/>
      <sheetName val="Insumos"/>
      <sheetName val="Composições"/>
      <sheetName val="Plan2"/>
      <sheetName val="Plan3"/>
      <sheetName val="Plan4"/>
      <sheetName val="Insumos_Elétrica"/>
      <sheetName val="Insumos Básicos"/>
      <sheetName val="Ins_Elét"/>
      <sheetName val="Insumos Acabamento"/>
      <sheetName val="Plan1"/>
      <sheetName val="serviç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L"/>
      <sheetName val="GERAL (2)"/>
      <sheetName val="cronograma"/>
      <sheetName val="Plan1"/>
      <sheetName val="ORC"/>
      <sheetName val="incendio"/>
      <sheetName val="lógica"/>
      <sheetName val="elétrico"/>
      <sheetName val="SPCDAtm."/>
      <sheetName val="telefone"/>
      <sheetName val="a.pluvial"/>
      <sheetName val="sanitária"/>
      <sheetName val="agua"/>
      <sheetName val="ar cond."/>
      <sheetName val="BDI"/>
      <sheetName val="BDI (2)"/>
      <sheetName val="L.S.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egação na Planilha"/>
      <sheetName val="Resumo de Ocorrência"/>
      <sheetName val="Resumo Subgrupos"/>
      <sheetName val="G40 - Analítico CCUs"/>
      <sheetName val="PEMs G40"/>
      <sheetName val="Equipamentos"/>
      <sheetName val="Tabela Tempo Fixo"/>
      <sheetName val="S01"/>
      <sheetName val="S38"/>
      <sheetName val="S39"/>
      <sheetName val="S41"/>
      <sheetName val="S44-45"/>
      <sheetName val="S52"/>
      <sheetName val="S53"/>
      <sheetName val="E9509"/>
      <sheetName val="E9681"/>
      <sheetName val="E9020 e E9012"/>
      <sheetName val="Análises Gráficas"/>
      <sheetName val="Auxiliar"/>
      <sheetName val="Imagens"/>
      <sheetName val="pro-08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LO Comparativa"/>
      <sheetName val="CPU ATRIUM"/>
      <sheetName val="DMT"/>
    </sheetNames>
    <sheetDataSet>
      <sheetData sheetId="0"/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rar BD"/>
      <sheetName val="Navegação na Planilha"/>
      <sheetName val="Sintético CCUs"/>
      <sheetName val="Analítico CCUs"/>
      <sheetName val="PEMs"/>
      <sheetName val="Alterações Insumos"/>
      <sheetName val="Equipamentos"/>
      <sheetName val="Consumo de água"/>
      <sheetName val="Tabela Tempo Fixo"/>
      <sheetName val="S5-8-12-13-14"/>
      <sheetName val="S19-20"/>
      <sheetName val="S21-40"/>
      <sheetName val="S23"/>
      <sheetName val="S24-25"/>
      <sheetName val="S26-27-28"/>
      <sheetName val="S29"/>
      <sheetName val="S30"/>
      <sheetName val="S31"/>
      <sheetName val="S32-33-34-35-36-48"/>
      <sheetName val="S37"/>
      <sheetName val="S38"/>
      <sheetName val="S39"/>
      <sheetName val="S41"/>
      <sheetName val="S42"/>
      <sheetName val="S44-45"/>
      <sheetName val="S46"/>
      <sheetName val="S47"/>
      <sheetName val="S52"/>
      <sheetName val="S53"/>
      <sheetName val="S54"/>
      <sheetName val="E9509"/>
      <sheetName val="E9681"/>
      <sheetName val="Imagens"/>
      <sheetName val="Análise Recicladoras "/>
      <sheetName val="Alteração Rolos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"/>
  <sheetViews>
    <sheetView view="pageBreakPreview" zoomScaleNormal="100" workbookViewId="0">
      <selection activeCell="M12" sqref="M12"/>
    </sheetView>
  </sheetViews>
  <sheetFormatPr defaultColWidth="9.140625" defaultRowHeight="15"/>
  <cols>
    <col min="4" max="4" width="29.5703125" customWidth="1"/>
    <col min="5" max="5" width="9.42578125" customWidth="1"/>
    <col min="6" max="6" width="11.42578125" customWidth="1"/>
    <col min="7" max="7" width="14.28515625" customWidth="1"/>
    <col min="8" max="8" width="19" customWidth="1"/>
    <col min="9" max="9" width="8.5703125" customWidth="1"/>
  </cols>
  <sheetData>
    <row r="1" spans="1:9">
      <c r="A1" s="357"/>
      <c r="B1" s="358"/>
      <c r="C1" s="359" t="s">
        <v>0</v>
      </c>
      <c r="D1" s="358"/>
      <c r="E1" s="358"/>
      <c r="F1" s="360"/>
      <c r="G1" s="358"/>
      <c r="H1" s="361"/>
      <c r="I1" s="397"/>
    </row>
    <row r="2" spans="1:9">
      <c r="A2" s="362"/>
      <c r="B2" s="363"/>
      <c r="C2" s="364" t="s">
        <v>1</v>
      </c>
      <c r="D2" s="364"/>
      <c r="E2" s="363"/>
      <c r="F2" s="365"/>
      <c r="G2" s="363"/>
      <c r="H2" s="366"/>
      <c r="I2" s="398"/>
    </row>
    <row r="3" spans="1:9">
      <c r="A3" s="362"/>
      <c r="B3" s="363"/>
      <c r="C3" s="367" t="s">
        <v>2</v>
      </c>
      <c r="D3" s="363"/>
      <c r="E3" s="363"/>
      <c r="F3" s="365"/>
      <c r="G3" s="363"/>
      <c r="H3" s="366"/>
      <c r="I3" s="398"/>
    </row>
    <row r="4" spans="1:9" ht="60" customHeight="1" thickBot="1">
      <c r="A4" s="445" t="s">
        <v>519</v>
      </c>
      <c r="B4" s="446"/>
      <c r="C4" s="446"/>
      <c r="D4" s="446"/>
      <c r="E4" s="446"/>
      <c r="F4" s="447"/>
      <c r="G4" s="446"/>
      <c r="H4" s="448"/>
      <c r="I4" s="449"/>
    </row>
    <row r="5" spans="1:9">
      <c r="A5" s="735" t="s">
        <v>524</v>
      </c>
      <c r="B5" s="736"/>
      <c r="C5" s="736"/>
      <c r="D5" s="736"/>
      <c r="E5" s="736"/>
      <c r="F5" s="736"/>
      <c r="G5" s="736"/>
      <c r="H5" s="736"/>
      <c r="I5" s="737"/>
    </row>
    <row r="6" spans="1:9">
      <c r="A6" s="368"/>
      <c r="B6" s="369"/>
      <c r="C6" s="369"/>
      <c r="D6" s="369"/>
      <c r="E6" s="369"/>
      <c r="F6" s="370"/>
      <c r="G6" s="371"/>
      <c r="H6" s="372"/>
      <c r="I6" s="398"/>
    </row>
    <row r="7" spans="1:9" s="356" customFormat="1" ht="26.1" customHeight="1">
      <c r="A7" s="450" t="s">
        <v>523</v>
      </c>
      <c r="B7" s="451"/>
      <c r="C7" s="451"/>
      <c r="D7" s="451"/>
      <c r="E7" s="451"/>
      <c r="F7" s="452"/>
      <c r="G7" s="451"/>
      <c r="H7" s="738" t="s">
        <v>3</v>
      </c>
      <c r="I7" s="739">
        <f>'PLANILHA GLOBAL'!M11</f>
        <v>0</v>
      </c>
    </row>
    <row r="8" spans="1:9" ht="18.75">
      <c r="A8" s="453" t="s">
        <v>4</v>
      </c>
      <c r="B8" s="454"/>
      <c r="C8" s="454"/>
      <c r="D8" s="454"/>
      <c r="E8" s="454"/>
      <c r="F8" s="455"/>
      <c r="G8" s="454"/>
      <c r="H8" s="456"/>
      <c r="I8" s="457"/>
    </row>
    <row r="9" spans="1:9">
      <c r="A9" s="373"/>
      <c r="B9" s="374"/>
      <c r="C9" s="374"/>
      <c r="D9" s="375"/>
      <c r="E9" s="374"/>
      <c r="F9" s="374"/>
      <c r="G9" s="374"/>
      <c r="H9" s="376"/>
      <c r="I9" s="399"/>
    </row>
    <row r="10" spans="1:9">
      <c r="A10" s="377"/>
      <c r="B10" s="378"/>
      <c r="C10" s="378"/>
      <c r="D10" s="379"/>
      <c r="E10" s="378"/>
      <c r="F10" s="378"/>
      <c r="G10" s="378"/>
      <c r="H10" s="380"/>
      <c r="I10" s="400"/>
    </row>
    <row r="11" spans="1:9" ht="28.5">
      <c r="A11" s="381"/>
      <c r="B11" s="382" t="s">
        <v>5</v>
      </c>
      <c r="C11" s="458" t="s">
        <v>6</v>
      </c>
      <c r="D11" s="459"/>
      <c r="E11" s="382" t="s">
        <v>7</v>
      </c>
      <c r="F11" s="383" t="s">
        <v>8</v>
      </c>
      <c r="G11" s="382" t="s">
        <v>9</v>
      </c>
      <c r="H11" s="384" t="s">
        <v>10</v>
      </c>
      <c r="I11" s="401"/>
    </row>
    <row r="12" spans="1:9" ht="94.5" customHeight="1">
      <c r="A12" s="362"/>
      <c r="B12" s="385">
        <v>1</v>
      </c>
      <c r="C12" s="460" t="s">
        <v>521</v>
      </c>
      <c r="D12" s="460"/>
      <c r="E12" s="386" t="s">
        <v>11</v>
      </c>
      <c r="F12" s="387">
        <f>'PLANILHA GLOBAL'!H28</f>
        <v>390000</v>
      </c>
      <c r="G12" s="388">
        <f>H12/F12</f>
        <v>0</v>
      </c>
      <c r="H12" s="389">
        <f>'PLANILHA GLOBAL'!L38</f>
        <v>0</v>
      </c>
      <c r="I12" s="402"/>
    </row>
    <row r="13" spans="1:9" ht="32.1" customHeight="1">
      <c r="A13" s="390"/>
      <c r="B13" s="444" t="s">
        <v>12</v>
      </c>
      <c r="C13" s="444"/>
      <c r="D13" s="444"/>
      <c r="E13" s="444"/>
      <c r="F13" s="444"/>
      <c r="G13" s="444"/>
      <c r="H13" s="444"/>
      <c r="I13" s="400"/>
    </row>
    <row r="14" spans="1:9">
      <c r="A14" s="391"/>
      <c r="B14" s="392"/>
      <c r="C14" s="392"/>
      <c r="D14" s="393"/>
      <c r="E14" s="393"/>
      <c r="F14" s="394"/>
      <c r="G14" s="395"/>
      <c r="H14" s="396"/>
      <c r="I14" s="403"/>
    </row>
  </sheetData>
  <mergeCells count="7">
    <mergeCell ref="B13:H13"/>
    <mergeCell ref="A4:I4"/>
    <mergeCell ref="A7:G7"/>
    <mergeCell ref="A8:I8"/>
    <mergeCell ref="C11:D11"/>
    <mergeCell ref="C12:D12"/>
    <mergeCell ref="A5:I5"/>
  </mergeCells>
  <pageMargins left="0.75" right="0.75" top="1" bottom="1" header="0.5" footer="0.5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  <pageSetUpPr fitToPage="1"/>
  </sheetPr>
  <dimension ref="A1:H64"/>
  <sheetViews>
    <sheetView view="pageBreakPreview" zoomScaleNormal="115" workbookViewId="0">
      <selection activeCell="A3" sqref="A3:G3"/>
    </sheetView>
  </sheetViews>
  <sheetFormatPr defaultColWidth="9" defaultRowHeight="15"/>
  <cols>
    <col min="1" max="1" width="66.28515625" style="105" customWidth="1"/>
    <col min="2" max="2" width="13.85546875" style="105" customWidth="1"/>
    <col min="3" max="3" width="15.85546875" style="105" customWidth="1"/>
    <col min="4" max="4" width="16.7109375" style="105" customWidth="1"/>
    <col min="5" max="5" width="10.28515625" style="105" customWidth="1"/>
    <col min="6" max="6" width="18.85546875" style="105" customWidth="1"/>
    <col min="7" max="7" width="19.28515625" style="105" customWidth="1"/>
    <col min="8" max="16384" width="9" style="105"/>
  </cols>
  <sheetData>
    <row r="1" spans="1:7" ht="38.25" customHeight="1">
      <c r="A1" s="756" t="s">
        <v>531</v>
      </c>
      <c r="B1" s="605"/>
      <c r="C1" s="605"/>
      <c r="D1" s="605"/>
      <c r="E1" s="606"/>
      <c r="F1" s="607"/>
      <c r="G1" s="608"/>
    </row>
    <row r="2" spans="1:7">
      <c r="A2"/>
      <c r="B2"/>
      <c r="C2"/>
      <c r="D2"/>
      <c r="E2"/>
      <c r="F2"/>
      <c r="G2"/>
    </row>
    <row r="3" spans="1:7" ht="35.25" customHeight="1">
      <c r="A3" s="609" t="s">
        <v>520</v>
      </c>
      <c r="B3" s="610"/>
      <c r="C3" s="610"/>
      <c r="D3" s="610"/>
      <c r="E3" s="610"/>
      <c r="F3" s="610"/>
      <c r="G3" s="611"/>
    </row>
    <row r="4" spans="1:7">
      <c r="A4"/>
      <c r="B4"/>
      <c r="C4"/>
      <c r="D4"/>
      <c r="E4"/>
      <c r="F4"/>
      <c r="G4"/>
    </row>
    <row r="5" spans="1:7" s="103" customFormat="1" ht="27.75" customHeight="1">
      <c r="A5" s="106" t="s">
        <v>257</v>
      </c>
      <c r="B5" s="107" t="s">
        <v>258</v>
      </c>
      <c r="C5" s="107" t="s">
        <v>259</v>
      </c>
      <c r="D5" s="107" t="s">
        <v>260</v>
      </c>
      <c r="E5" s="107" t="s">
        <v>20</v>
      </c>
      <c r="F5" s="107" t="s">
        <v>261</v>
      </c>
      <c r="G5" s="107" t="s">
        <v>262</v>
      </c>
    </row>
    <row r="6" spans="1:7" s="103" customFormat="1" ht="27.75" customHeight="1">
      <c r="A6" s="108" t="s">
        <v>263</v>
      </c>
      <c r="B6" s="109" t="s">
        <v>264</v>
      </c>
      <c r="C6" s="110" t="s">
        <v>265</v>
      </c>
      <c r="D6" s="109" t="s">
        <v>266</v>
      </c>
      <c r="E6" s="109" t="s">
        <v>267</v>
      </c>
      <c r="F6" s="441">
        <v>0.82699999999999996</v>
      </c>
      <c r="G6" s="441"/>
    </row>
    <row r="7" spans="1:7" s="103" customFormat="1" ht="27.75" customHeight="1">
      <c r="A7" s="108" t="s">
        <v>172</v>
      </c>
      <c r="B7" s="109" t="s">
        <v>264</v>
      </c>
      <c r="C7" s="110" t="s">
        <v>265</v>
      </c>
      <c r="D7" s="109">
        <v>5914655</v>
      </c>
      <c r="E7" s="109" t="s">
        <v>32</v>
      </c>
      <c r="F7" s="441">
        <v>31.89</v>
      </c>
      <c r="G7" s="441"/>
    </row>
    <row r="8" spans="1:7" s="103" customFormat="1" ht="27.75" customHeight="1">
      <c r="A8" s="108" t="s">
        <v>268</v>
      </c>
      <c r="B8" s="109" t="s">
        <v>264</v>
      </c>
      <c r="C8" s="110" t="s">
        <v>265</v>
      </c>
      <c r="D8" s="109" t="s">
        <v>269</v>
      </c>
      <c r="E8" s="109" t="s">
        <v>270</v>
      </c>
      <c r="F8" s="441">
        <v>276.851</v>
      </c>
      <c r="G8" s="441">
        <v>101.6259</v>
      </c>
    </row>
    <row r="9" spans="1:7" s="103" customFormat="1" ht="27.75" customHeight="1">
      <c r="A9" s="108" t="s">
        <v>271</v>
      </c>
      <c r="B9" s="109" t="s">
        <v>264</v>
      </c>
      <c r="C9" s="110" t="s">
        <v>265</v>
      </c>
      <c r="D9" s="109" t="s">
        <v>272</v>
      </c>
      <c r="E9" s="109" t="s">
        <v>270</v>
      </c>
      <c r="F9" s="441">
        <v>143.74100000000001</v>
      </c>
      <c r="G9" s="441">
        <v>63.810400000000001</v>
      </c>
    </row>
    <row r="10" spans="1:7" s="103" customFormat="1">
      <c r="A10" s="108" t="s">
        <v>273</v>
      </c>
      <c r="B10" s="109" t="s">
        <v>264</v>
      </c>
      <c r="C10" s="110" t="s">
        <v>265</v>
      </c>
      <c r="D10" s="109" t="s">
        <v>274</v>
      </c>
      <c r="E10" s="109" t="s">
        <v>270</v>
      </c>
      <c r="F10" s="441">
        <v>298.26069999999999</v>
      </c>
      <c r="G10" s="441">
        <v>89.097099999999998</v>
      </c>
    </row>
    <row r="11" spans="1:7" s="103" customFormat="1">
      <c r="A11" s="111" t="s">
        <v>275</v>
      </c>
      <c r="B11" s="112" t="s">
        <v>264</v>
      </c>
      <c r="C11" s="110" t="s">
        <v>265</v>
      </c>
      <c r="D11" s="112" t="s">
        <v>276</v>
      </c>
      <c r="E11" s="109" t="s">
        <v>270</v>
      </c>
      <c r="F11" s="442">
        <v>384.53199999999998</v>
      </c>
      <c r="G11" s="442">
        <v>133.70679999999999</v>
      </c>
    </row>
    <row r="12" spans="1:7" s="103" customFormat="1" ht="25.5">
      <c r="A12" s="108" t="s">
        <v>277</v>
      </c>
      <c r="B12" s="109" t="s">
        <v>264</v>
      </c>
      <c r="C12" s="110" t="s">
        <v>265</v>
      </c>
      <c r="D12" s="109">
        <v>1107892</v>
      </c>
      <c r="E12" s="109" t="s">
        <v>278</v>
      </c>
      <c r="F12" s="442">
        <v>471.62</v>
      </c>
      <c r="G12" s="442"/>
    </row>
    <row r="13" spans="1:7" s="103" customFormat="1" ht="25.5">
      <c r="A13" s="108" t="s">
        <v>219</v>
      </c>
      <c r="B13" s="109" t="s">
        <v>264</v>
      </c>
      <c r="C13" s="110" t="s">
        <v>265</v>
      </c>
      <c r="D13" s="109" t="s">
        <v>217</v>
      </c>
      <c r="E13" s="109" t="s">
        <v>279</v>
      </c>
      <c r="F13" s="442">
        <v>29.1463</v>
      </c>
      <c r="G13" s="442"/>
    </row>
    <row r="14" spans="1:7" s="103" customFormat="1" ht="25.5">
      <c r="A14" s="108" t="s">
        <v>219</v>
      </c>
      <c r="B14" s="109" t="s">
        <v>264</v>
      </c>
      <c r="C14" s="110" t="s">
        <v>265</v>
      </c>
      <c r="D14" s="109">
        <v>5914655</v>
      </c>
      <c r="E14" s="109" t="s">
        <v>32</v>
      </c>
      <c r="F14" s="442">
        <v>31.89</v>
      </c>
      <c r="G14" s="442"/>
    </row>
    <row r="15" spans="1:7" s="103" customFormat="1" ht="25.5">
      <c r="A15" s="108" t="s">
        <v>201</v>
      </c>
      <c r="B15" s="109" t="s">
        <v>264</v>
      </c>
      <c r="C15" s="110" t="s">
        <v>265</v>
      </c>
      <c r="D15" s="109">
        <v>4016096</v>
      </c>
      <c r="E15" s="109" t="s">
        <v>278</v>
      </c>
      <c r="F15" s="405">
        <v>1.44</v>
      </c>
      <c r="G15" s="405"/>
    </row>
    <row r="16" spans="1:7" s="103" customFormat="1" ht="25.5">
      <c r="A16" s="108" t="s">
        <v>196</v>
      </c>
      <c r="B16" s="109" t="s">
        <v>264</v>
      </c>
      <c r="C16" s="110" t="s">
        <v>265</v>
      </c>
      <c r="D16" s="109">
        <v>5914354</v>
      </c>
      <c r="E16" s="109" t="s">
        <v>32</v>
      </c>
      <c r="F16" s="405">
        <v>1.68</v>
      </c>
      <c r="G16" s="405"/>
    </row>
    <row r="17" spans="1:7" s="103" customFormat="1">
      <c r="A17" s="108" t="s">
        <v>280</v>
      </c>
      <c r="B17" s="109" t="s">
        <v>264</v>
      </c>
      <c r="C17" s="110" t="s">
        <v>265</v>
      </c>
      <c r="D17" s="109">
        <v>4805750</v>
      </c>
      <c r="E17" s="109" t="s">
        <v>278</v>
      </c>
      <c r="F17" s="405">
        <v>43.83</v>
      </c>
      <c r="G17" s="405"/>
    </row>
    <row r="18" spans="1:7" s="103" customFormat="1" ht="25.5">
      <c r="A18" s="108" t="s">
        <v>281</v>
      </c>
      <c r="B18" s="109" t="s">
        <v>264</v>
      </c>
      <c r="C18" s="110" t="s">
        <v>265</v>
      </c>
      <c r="D18" s="109" t="s">
        <v>282</v>
      </c>
      <c r="E18" s="109" t="s">
        <v>270</v>
      </c>
      <c r="F18" s="405">
        <v>306.2364</v>
      </c>
      <c r="G18" s="405">
        <v>150.46369999999999</v>
      </c>
    </row>
    <row r="19" spans="1:7" s="103" customFormat="1">
      <c r="A19" s="108" t="s">
        <v>283</v>
      </c>
      <c r="B19" s="109" t="s">
        <v>264</v>
      </c>
      <c r="C19" s="110" t="s">
        <v>265</v>
      </c>
      <c r="D19" s="109" t="s">
        <v>284</v>
      </c>
      <c r="E19" s="109" t="s">
        <v>270</v>
      </c>
      <c r="F19" s="405">
        <v>4.8484999999999996</v>
      </c>
      <c r="G19" s="405">
        <v>3.3763999999999998</v>
      </c>
    </row>
    <row r="20" spans="1:7" s="103" customFormat="1" ht="25.5">
      <c r="A20" s="108" t="s">
        <v>285</v>
      </c>
      <c r="B20" s="109" t="s">
        <v>264</v>
      </c>
      <c r="C20" s="110" t="s">
        <v>265</v>
      </c>
      <c r="D20" s="109" t="s">
        <v>286</v>
      </c>
      <c r="E20" s="109" t="s">
        <v>279</v>
      </c>
      <c r="F20" s="441">
        <v>11.419600000000001</v>
      </c>
      <c r="G20" s="441"/>
    </row>
    <row r="21" spans="1:7" s="103" customFormat="1" ht="25.5">
      <c r="A21" s="108" t="s">
        <v>175</v>
      </c>
      <c r="B21" s="109" t="s">
        <v>264</v>
      </c>
      <c r="C21" s="110" t="s">
        <v>265</v>
      </c>
      <c r="D21" s="109">
        <v>5914655</v>
      </c>
      <c r="E21" s="109" t="s">
        <v>32</v>
      </c>
      <c r="F21" s="441">
        <v>31.89</v>
      </c>
      <c r="G21" s="441"/>
    </row>
    <row r="22" spans="1:7" s="103" customFormat="1">
      <c r="A22" s="108" t="s">
        <v>287</v>
      </c>
      <c r="B22" s="109" t="s">
        <v>264</v>
      </c>
      <c r="C22" s="110" t="s">
        <v>265</v>
      </c>
      <c r="D22" s="109" t="s">
        <v>288</v>
      </c>
      <c r="E22" s="109" t="s">
        <v>270</v>
      </c>
      <c r="F22" s="441">
        <v>31.332599999999999</v>
      </c>
      <c r="G22" s="441"/>
    </row>
    <row r="23" spans="1:7" s="103" customFormat="1">
      <c r="A23" s="108" t="s">
        <v>289</v>
      </c>
      <c r="B23" s="109" t="s">
        <v>264</v>
      </c>
      <c r="C23" s="110" t="s">
        <v>265</v>
      </c>
      <c r="D23" s="109" t="s">
        <v>290</v>
      </c>
      <c r="E23" s="109" t="s">
        <v>270</v>
      </c>
      <c r="F23" s="405">
        <v>279.14210000000003</v>
      </c>
      <c r="G23" s="405">
        <v>130.55009999999999</v>
      </c>
    </row>
    <row r="24" spans="1:7" s="103" customFormat="1">
      <c r="A24" s="108" t="s">
        <v>291</v>
      </c>
      <c r="B24" s="109" t="s">
        <v>264</v>
      </c>
      <c r="C24" s="110" t="s">
        <v>265</v>
      </c>
      <c r="D24" s="109" t="s">
        <v>292</v>
      </c>
      <c r="E24" s="109" t="s">
        <v>20</v>
      </c>
      <c r="F24" s="441">
        <v>22</v>
      </c>
      <c r="G24" s="441"/>
    </row>
    <row r="25" spans="1:7" s="103" customFormat="1">
      <c r="A25" s="108" t="s">
        <v>176</v>
      </c>
      <c r="B25" s="109" t="s">
        <v>264</v>
      </c>
      <c r="C25" s="110" t="s">
        <v>265</v>
      </c>
      <c r="D25" s="109">
        <v>5914655</v>
      </c>
      <c r="E25" s="109" t="s">
        <v>32</v>
      </c>
      <c r="F25" s="441">
        <v>31.89</v>
      </c>
      <c r="G25" s="441"/>
    </row>
    <row r="26" spans="1:7" s="103" customFormat="1">
      <c r="A26" s="108" t="s">
        <v>293</v>
      </c>
      <c r="B26" s="109" t="s">
        <v>264</v>
      </c>
      <c r="C26" s="110" t="s">
        <v>265</v>
      </c>
      <c r="D26" s="109" t="s">
        <v>294</v>
      </c>
      <c r="E26" s="109" t="s">
        <v>20</v>
      </c>
      <c r="F26" s="441">
        <v>45.150599999999997</v>
      </c>
      <c r="G26" s="441"/>
    </row>
    <row r="27" spans="1:7" s="103" customFormat="1">
      <c r="A27" s="108" t="s">
        <v>177</v>
      </c>
      <c r="B27" s="109" t="s">
        <v>264</v>
      </c>
      <c r="C27" s="110" t="s">
        <v>265</v>
      </c>
      <c r="D27" s="109">
        <v>5914655</v>
      </c>
      <c r="E27" s="109" t="s">
        <v>32</v>
      </c>
      <c r="F27" s="441">
        <v>31.89</v>
      </c>
      <c r="G27" s="441"/>
    </row>
    <row r="28" spans="1:7" s="103" customFormat="1" ht="25.5">
      <c r="A28" s="108" t="s">
        <v>295</v>
      </c>
      <c r="B28" s="109" t="s">
        <v>264</v>
      </c>
      <c r="C28" s="110" t="s">
        <v>265</v>
      </c>
      <c r="D28" s="109">
        <v>5213414</v>
      </c>
      <c r="E28" s="109" t="s">
        <v>238</v>
      </c>
      <c r="F28" s="441">
        <v>555.59</v>
      </c>
      <c r="G28" s="441"/>
    </row>
    <row r="29" spans="1:7" s="103" customFormat="1">
      <c r="A29" s="111" t="s">
        <v>296</v>
      </c>
      <c r="B29" s="112" t="s">
        <v>264</v>
      </c>
      <c r="C29" s="110" t="s">
        <v>265</v>
      </c>
      <c r="D29" s="112" t="s">
        <v>297</v>
      </c>
      <c r="E29" s="109" t="s">
        <v>270</v>
      </c>
      <c r="F29" s="441">
        <v>153.52449999999999</v>
      </c>
      <c r="G29" s="441">
        <v>84.3172</v>
      </c>
    </row>
    <row r="30" spans="1:7" s="103" customFormat="1">
      <c r="A30" s="108" t="s">
        <v>298</v>
      </c>
      <c r="B30" s="109" t="s">
        <v>264</v>
      </c>
      <c r="C30" s="110" t="s">
        <v>265</v>
      </c>
      <c r="D30" s="109" t="s">
        <v>299</v>
      </c>
      <c r="E30" s="109" t="s">
        <v>270</v>
      </c>
      <c r="F30" s="405">
        <v>241.52109999999999</v>
      </c>
      <c r="G30" s="405">
        <v>125.0121</v>
      </c>
    </row>
    <row r="31" spans="1:7" s="103" customFormat="1" ht="25.5">
      <c r="A31" s="108" t="s">
        <v>300</v>
      </c>
      <c r="B31" s="109" t="s">
        <v>264</v>
      </c>
      <c r="C31" s="110" t="s">
        <v>265</v>
      </c>
      <c r="D31" s="109" t="s">
        <v>301</v>
      </c>
      <c r="E31" s="109" t="s">
        <v>270</v>
      </c>
      <c r="F31" s="405">
        <v>199.6669</v>
      </c>
      <c r="G31" s="405">
        <v>96.510900000000007</v>
      </c>
    </row>
    <row r="32" spans="1:7" s="103" customFormat="1">
      <c r="A32" s="108" t="s">
        <v>302</v>
      </c>
      <c r="B32" s="109" t="s">
        <v>264</v>
      </c>
      <c r="C32" s="110" t="s">
        <v>265</v>
      </c>
      <c r="D32" s="109" t="s">
        <v>303</v>
      </c>
      <c r="E32" s="109" t="s">
        <v>270</v>
      </c>
      <c r="F32" s="441">
        <v>21.6083</v>
      </c>
      <c r="G32" s="441"/>
    </row>
    <row r="33" spans="1:8" s="103" customFormat="1" ht="25.5">
      <c r="A33" s="108" t="s">
        <v>220</v>
      </c>
      <c r="B33" s="109" t="s">
        <v>264</v>
      </c>
      <c r="C33" s="110" t="s">
        <v>265</v>
      </c>
      <c r="D33" s="109" t="s">
        <v>218</v>
      </c>
      <c r="E33" s="109" t="s">
        <v>279</v>
      </c>
      <c r="F33" s="441">
        <v>27.845300000000002</v>
      </c>
      <c r="G33" s="441"/>
    </row>
    <row r="34" spans="1:8" s="103" customFormat="1" ht="25.5">
      <c r="A34" s="108" t="s">
        <v>220</v>
      </c>
      <c r="B34" s="109" t="s">
        <v>264</v>
      </c>
      <c r="C34" s="110" t="s">
        <v>265</v>
      </c>
      <c r="D34" s="109">
        <v>5914655</v>
      </c>
      <c r="E34" s="109" t="s">
        <v>32</v>
      </c>
      <c r="F34" s="441">
        <v>31.89</v>
      </c>
      <c r="G34" s="441"/>
    </row>
    <row r="35" spans="1:8" s="103" customFormat="1">
      <c r="A35" s="108" t="s">
        <v>304</v>
      </c>
      <c r="B35" s="109" t="s">
        <v>264</v>
      </c>
      <c r="C35" s="110" t="s">
        <v>265</v>
      </c>
      <c r="D35" s="109" t="s">
        <v>305</v>
      </c>
      <c r="E35" s="109" t="s">
        <v>270</v>
      </c>
      <c r="F35" s="405">
        <v>126.06010000000001</v>
      </c>
      <c r="G35" s="405">
        <v>50.948399999999999</v>
      </c>
    </row>
    <row r="36" spans="1:8" s="103" customFormat="1">
      <c r="A36" s="113" t="s">
        <v>250</v>
      </c>
      <c r="B36" s="109" t="s">
        <v>264</v>
      </c>
      <c r="C36" s="110" t="s">
        <v>265</v>
      </c>
      <c r="D36" s="109" t="s">
        <v>306</v>
      </c>
      <c r="E36" s="109" t="s">
        <v>307</v>
      </c>
      <c r="F36" s="405">
        <v>7132.3013000000001</v>
      </c>
      <c r="G36" s="405"/>
      <c r="H36" s="114"/>
    </row>
    <row r="37" spans="1:8" s="103" customFormat="1">
      <c r="A37" s="113" t="s">
        <v>252</v>
      </c>
      <c r="B37" s="109" t="s">
        <v>264</v>
      </c>
      <c r="C37" s="110" t="s">
        <v>265</v>
      </c>
      <c r="D37" s="109" t="s">
        <v>308</v>
      </c>
      <c r="E37" s="109" t="s">
        <v>307</v>
      </c>
      <c r="F37" s="405">
        <v>5569.3198000000002</v>
      </c>
      <c r="G37" s="405"/>
      <c r="H37" s="114"/>
    </row>
    <row r="38" spans="1:8" s="103" customFormat="1">
      <c r="A38" s="113" t="s">
        <v>254</v>
      </c>
      <c r="B38" s="109" t="s">
        <v>309</v>
      </c>
      <c r="C38" s="110" t="s">
        <v>265</v>
      </c>
      <c r="D38" s="109" t="s">
        <v>310</v>
      </c>
      <c r="E38" s="109" t="s">
        <v>307</v>
      </c>
      <c r="F38" s="405">
        <v>4235.59</v>
      </c>
      <c r="G38" s="405"/>
      <c r="H38" s="114" t="s">
        <v>256</v>
      </c>
    </row>
    <row r="39" spans="1:8" s="103" customFormat="1" ht="25.5">
      <c r="A39" s="106" t="s">
        <v>311</v>
      </c>
      <c r="B39" s="107" t="s">
        <v>258</v>
      </c>
      <c r="C39" s="107" t="s">
        <v>259</v>
      </c>
      <c r="D39" s="107" t="s">
        <v>260</v>
      </c>
      <c r="E39" s="107" t="s">
        <v>20</v>
      </c>
      <c r="F39" s="107" t="s">
        <v>312</v>
      </c>
      <c r="G39" s="107" t="s">
        <v>313</v>
      </c>
    </row>
    <row r="40" spans="1:8" s="104" customFormat="1" ht="30">
      <c r="A40" s="115" t="s">
        <v>314</v>
      </c>
      <c r="B40" s="116" t="s">
        <v>315</v>
      </c>
      <c r="C40" s="404" t="s">
        <v>473</v>
      </c>
      <c r="D40" s="406" t="s">
        <v>487</v>
      </c>
      <c r="E40" s="109" t="s">
        <v>278</v>
      </c>
      <c r="F40" s="405">
        <v>110</v>
      </c>
      <c r="G40" s="405"/>
    </row>
    <row r="41" spans="1:8" s="104" customFormat="1">
      <c r="A41" s="115" t="s">
        <v>477</v>
      </c>
      <c r="B41" s="116" t="s">
        <v>315</v>
      </c>
      <c r="C41" s="404" t="s">
        <v>473</v>
      </c>
      <c r="D41" s="406" t="s">
        <v>488</v>
      </c>
      <c r="E41" s="109" t="s">
        <v>111</v>
      </c>
      <c r="F41" s="405">
        <v>21.11</v>
      </c>
      <c r="G41" s="405"/>
    </row>
    <row r="42" spans="1:8" s="104" customFormat="1" ht="45">
      <c r="A42" s="115" t="s">
        <v>316</v>
      </c>
      <c r="B42" s="116" t="s">
        <v>315</v>
      </c>
      <c r="C42" s="404" t="s">
        <v>473</v>
      </c>
      <c r="D42" s="406" t="s">
        <v>489</v>
      </c>
      <c r="E42" s="109" t="s">
        <v>111</v>
      </c>
      <c r="F42" s="405">
        <v>5.37</v>
      </c>
      <c r="G42" s="405"/>
    </row>
    <row r="43" spans="1:8" s="104" customFormat="1" ht="45">
      <c r="A43" s="115" t="s">
        <v>327</v>
      </c>
      <c r="B43" s="116" t="s">
        <v>315</v>
      </c>
      <c r="C43" s="404" t="s">
        <v>473</v>
      </c>
      <c r="D43" s="406" t="s">
        <v>490</v>
      </c>
      <c r="E43" s="109" t="s">
        <v>111</v>
      </c>
      <c r="F43" s="405">
        <v>40.4</v>
      </c>
      <c r="G43" s="405"/>
    </row>
    <row r="44" spans="1:8" s="104" customFormat="1">
      <c r="A44" s="115" t="s">
        <v>317</v>
      </c>
      <c r="B44" s="116" t="s">
        <v>315</v>
      </c>
      <c r="C44" s="404" t="s">
        <v>473</v>
      </c>
      <c r="D44" s="406" t="s">
        <v>491</v>
      </c>
      <c r="E44" s="109" t="s">
        <v>111</v>
      </c>
      <c r="F44" s="405">
        <v>30.2</v>
      </c>
      <c r="G44" s="405"/>
    </row>
    <row r="45" spans="1:8" s="104" customFormat="1">
      <c r="A45" s="115" t="s">
        <v>318</v>
      </c>
      <c r="B45" s="116" t="s">
        <v>315</v>
      </c>
      <c r="C45" s="404" t="s">
        <v>473</v>
      </c>
      <c r="D45" s="406" t="s">
        <v>492</v>
      </c>
      <c r="E45" s="109" t="s">
        <v>279</v>
      </c>
      <c r="F45" s="405">
        <v>0.78</v>
      </c>
      <c r="G45" s="405"/>
    </row>
    <row r="46" spans="1:8" s="104" customFormat="1">
      <c r="A46" s="115" t="s">
        <v>474</v>
      </c>
      <c r="B46" s="116" t="s">
        <v>315</v>
      </c>
      <c r="C46" s="404" t="s">
        <v>473</v>
      </c>
      <c r="D46" s="406" t="s">
        <v>493</v>
      </c>
      <c r="E46" s="109" t="s">
        <v>111</v>
      </c>
      <c r="F46" s="405">
        <v>30.57</v>
      </c>
      <c r="G46" s="405"/>
    </row>
    <row r="47" spans="1:8" s="104" customFormat="1">
      <c r="A47" s="115" t="s">
        <v>319</v>
      </c>
      <c r="B47" s="116" t="s">
        <v>315</v>
      </c>
      <c r="C47" s="404" t="s">
        <v>473</v>
      </c>
      <c r="D47" s="406" t="s">
        <v>494</v>
      </c>
      <c r="E47" s="109" t="s">
        <v>111</v>
      </c>
      <c r="F47" s="405">
        <v>36.79</v>
      </c>
      <c r="G47" s="405"/>
    </row>
    <row r="48" spans="1:8" s="104" customFormat="1" ht="30">
      <c r="A48" s="115" t="s">
        <v>320</v>
      </c>
      <c r="B48" s="116" t="s">
        <v>315</v>
      </c>
      <c r="C48" s="404" t="s">
        <v>473</v>
      </c>
      <c r="D48" s="406" t="s">
        <v>495</v>
      </c>
      <c r="E48" s="109" t="s">
        <v>111</v>
      </c>
      <c r="F48" s="405">
        <v>113.34</v>
      </c>
      <c r="G48" s="405"/>
    </row>
    <row r="49" spans="1:8" s="104" customFormat="1">
      <c r="A49" s="115" t="s">
        <v>475</v>
      </c>
      <c r="B49" s="116" t="s">
        <v>315</v>
      </c>
      <c r="C49" s="404" t="s">
        <v>473</v>
      </c>
      <c r="D49" s="406" t="s">
        <v>496</v>
      </c>
      <c r="E49" s="109" t="s">
        <v>111</v>
      </c>
      <c r="F49" s="405">
        <v>117.25</v>
      </c>
      <c r="G49" s="405"/>
    </row>
    <row r="50" spans="1:8" s="104" customFormat="1">
      <c r="A50" s="115" t="s">
        <v>328</v>
      </c>
      <c r="B50" s="116" t="s">
        <v>315</v>
      </c>
      <c r="C50" s="404" t="s">
        <v>473</v>
      </c>
      <c r="D50" s="406" t="s">
        <v>497</v>
      </c>
      <c r="E50" s="109" t="s">
        <v>112</v>
      </c>
      <c r="F50" s="405">
        <v>6.11</v>
      </c>
      <c r="G50" s="405"/>
    </row>
    <row r="51" spans="1:8" s="104" customFormat="1" ht="30">
      <c r="A51" s="115" t="s">
        <v>321</v>
      </c>
      <c r="B51" s="116" t="s">
        <v>315</v>
      </c>
      <c r="C51" s="404" t="s">
        <v>473</v>
      </c>
      <c r="D51" s="406" t="s">
        <v>498</v>
      </c>
      <c r="E51" s="109" t="s">
        <v>278</v>
      </c>
      <c r="F51" s="405">
        <v>112.81</v>
      </c>
      <c r="G51" s="405"/>
    </row>
    <row r="52" spans="1:8" s="104" customFormat="1" ht="30">
      <c r="A52" s="115" t="s">
        <v>322</v>
      </c>
      <c r="B52" s="116" t="s">
        <v>315</v>
      </c>
      <c r="C52" s="404" t="s">
        <v>473</v>
      </c>
      <c r="D52" s="406" t="s">
        <v>499</v>
      </c>
      <c r="E52" s="109" t="s">
        <v>238</v>
      </c>
      <c r="F52" s="405">
        <v>337.5</v>
      </c>
      <c r="G52" s="405"/>
    </row>
    <row r="53" spans="1:8" s="104" customFormat="1" ht="30">
      <c r="A53" s="115" t="s">
        <v>323</v>
      </c>
      <c r="B53" s="116" t="s">
        <v>315</v>
      </c>
      <c r="C53" s="404" t="s">
        <v>473</v>
      </c>
      <c r="D53" s="406" t="s">
        <v>500</v>
      </c>
      <c r="E53" s="109" t="s">
        <v>267</v>
      </c>
      <c r="F53" s="405">
        <v>9.35</v>
      </c>
      <c r="G53" s="405"/>
    </row>
    <row r="54" spans="1:8" s="104" customFormat="1">
      <c r="A54" s="115" t="s">
        <v>324</v>
      </c>
      <c r="B54" s="116" t="s">
        <v>315</v>
      </c>
      <c r="C54" s="404" t="s">
        <v>473</v>
      </c>
      <c r="D54" s="406" t="s">
        <v>501</v>
      </c>
      <c r="E54" s="109" t="s">
        <v>279</v>
      </c>
      <c r="F54" s="405">
        <v>18.239999999999998</v>
      </c>
      <c r="G54" s="405"/>
    </row>
    <row r="55" spans="1:8" s="104" customFormat="1" ht="30">
      <c r="A55" s="115" t="s">
        <v>325</v>
      </c>
      <c r="B55" s="116" t="s">
        <v>315</v>
      </c>
      <c r="C55" s="404" t="s">
        <v>473</v>
      </c>
      <c r="D55" s="406" t="s">
        <v>502</v>
      </c>
      <c r="E55" s="109" t="s">
        <v>267</v>
      </c>
      <c r="F55" s="405">
        <v>7.41</v>
      </c>
      <c r="G55" s="405"/>
    </row>
    <row r="56" spans="1:8" s="104" customFormat="1">
      <c r="A56" s="115" t="s">
        <v>326</v>
      </c>
      <c r="B56" s="116" t="s">
        <v>315</v>
      </c>
      <c r="C56" s="404" t="s">
        <v>473</v>
      </c>
      <c r="D56" s="406" t="s">
        <v>503</v>
      </c>
      <c r="E56" s="109" t="s">
        <v>111</v>
      </c>
      <c r="F56" s="405">
        <v>21.66</v>
      </c>
      <c r="G56" s="405"/>
    </row>
    <row r="57" spans="1:8" s="104" customFormat="1">
      <c r="A57" s="115" t="s">
        <v>476</v>
      </c>
      <c r="B57" s="116" t="s">
        <v>315</v>
      </c>
      <c r="C57" s="404" t="s">
        <v>473</v>
      </c>
      <c r="D57" s="406" t="s">
        <v>504</v>
      </c>
      <c r="E57" s="109" t="s">
        <v>111</v>
      </c>
      <c r="F57" s="405">
        <v>44.55</v>
      </c>
      <c r="G57" s="405"/>
    </row>
    <row r="58" spans="1:8" s="103" customFormat="1" ht="25.5">
      <c r="A58" s="106" t="s">
        <v>329</v>
      </c>
      <c r="B58" s="107" t="s">
        <v>258</v>
      </c>
      <c r="C58" s="107" t="s">
        <v>259</v>
      </c>
      <c r="D58" s="107" t="s">
        <v>260</v>
      </c>
      <c r="E58" s="107" t="s">
        <v>20</v>
      </c>
      <c r="F58" s="107" t="s">
        <v>312</v>
      </c>
      <c r="G58" s="107" t="s">
        <v>313</v>
      </c>
    </row>
    <row r="59" spans="1:8" s="104" customFormat="1">
      <c r="A59" s="117" t="s">
        <v>330</v>
      </c>
      <c r="B59" s="116" t="s">
        <v>331</v>
      </c>
      <c r="C59" s="404" t="s">
        <v>473</v>
      </c>
      <c r="D59" s="116" t="s">
        <v>332</v>
      </c>
      <c r="E59" s="109" t="s">
        <v>20</v>
      </c>
      <c r="F59" s="405">
        <v>150</v>
      </c>
      <c r="G59" s="405"/>
    </row>
    <row r="60" spans="1:8" s="104" customFormat="1">
      <c r="A60" s="117" t="s">
        <v>333</v>
      </c>
      <c r="B60" s="116" t="s">
        <v>331</v>
      </c>
      <c r="C60" s="404" t="s">
        <v>473</v>
      </c>
      <c r="D60" s="116" t="s">
        <v>334</v>
      </c>
      <c r="E60" s="109" t="s">
        <v>20</v>
      </c>
      <c r="F60" s="405">
        <v>150</v>
      </c>
      <c r="G60" s="405"/>
    </row>
    <row r="61" spans="1:8" s="104" customFormat="1">
      <c r="A61" s="117" t="s">
        <v>335</v>
      </c>
      <c r="B61" s="116" t="s">
        <v>331</v>
      </c>
      <c r="C61" s="404" t="s">
        <v>473</v>
      </c>
      <c r="D61" s="116" t="s">
        <v>336</v>
      </c>
      <c r="E61" s="109" t="s">
        <v>20</v>
      </c>
      <c r="F61" s="405">
        <v>150</v>
      </c>
      <c r="G61" s="405"/>
    </row>
    <row r="62" spans="1:8" s="104" customFormat="1" ht="30">
      <c r="A62" s="427" t="s">
        <v>511</v>
      </c>
      <c r="B62" s="116" t="s">
        <v>331</v>
      </c>
      <c r="C62" s="404" t="s">
        <v>473</v>
      </c>
      <c r="D62" s="116" t="s">
        <v>337</v>
      </c>
      <c r="E62" s="109" t="s">
        <v>20</v>
      </c>
      <c r="F62" s="405">
        <v>202</v>
      </c>
      <c r="G62" s="405"/>
    </row>
    <row r="63" spans="1:8" s="104" customFormat="1" ht="30.75" customHeight="1">
      <c r="A63" s="117" t="s">
        <v>338</v>
      </c>
      <c r="B63" s="116" t="s">
        <v>331</v>
      </c>
      <c r="C63" s="404" t="s">
        <v>473</v>
      </c>
      <c r="D63" s="116" t="s">
        <v>339</v>
      </c>
      <c r="E63" s="109" t="s">
        <v>20</v>
      </c>
      <c r="F63" s="405">
        <v>259</v>
      </c>
      <c r="G63" s="405"/>
      <c r="H63" s="104" t="s">
        <v>239</v>
      </c>
    </row>
    <row r="64" spans="1:8" s="104" customFormat="1">
      <c r="A64" s="117" t="s">
        <v>507</v>
      </c>
      <c r="B64" s="116" t="s">
        <v>331</v>
      </c>
      <c r="C64" s="404" t="s">
        <v>473</v>
      </c>
      <c r="D64" s="116" t="s">
        <v>508</v>
      </c>
      <c r="E64" s="109" t="s">
        <v>111</v>
      </c>
      <c r="F64" s="405">
        <v>4.5999999999999996</v>
      </c>
      <c r="G64" s="405"/>
    </row>
  </sheetData>
  <mergeCells count="3">
    <mergeCell ref="A1:E1"/>
    <mergeCell ref="F1:G1"/>
    <mergeCell ref="A3:G3"/>
  </mergeCells>
  <pageMargins left="0.51181102362204722" right="0.51181102362204722" top="0.78740157480314965" bottom="0.78740157480314965" header="0.31496062992125984" footer="0.31496062992125984"/>
  <pageSetup paperSize="9" scale="57" fitToHeight="0" orientation="portrait" r:id="rId1"/>
  <rowBreaks count="2" manualBreakCount="2">
    <brk id="38" max="16383" man="1"/>
    <brk id="5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 tint="0.59999389629810485"/>
    <pageSetUpPr fitToPage="1"/>
  </sheetPr>
  <dimension ref="A1:P28"/>
  <sheetViews>
    <sheetView view="pageBreakPreview" zoomScaleNormal="85" workbookViewId="0">
      <selection activeCell="A7" sqref="A7:P8"/>
    </sheetView>
  </sheetViews>
  <sheetFormatPr defaultColWidth="8.7109375" defaultRowHeight="15"/>
  <cols>
    <col min="2" max="2" width="18.5703125" customWidth="1"/>
    <col min="7" max="7" width="27" customWidth="1"/>
    <col min="8" max="8" width="9.5703125" customWidth="1"/>
  </cols>
  <sheetData>
    <row r="1" spans="1:16" ht="15.75" customHeight="1">
      <c r="A1" s="65"/>
      <c r="B1" s="66"/>
      <c r="C1" s="622" t="s">
        <v>340</v>
      </c>
      <c r="D1" s="622"/>
      <c r="E1" s="622"/>
      <c r="F1" s="622"/>
      <c r="G1" s="622"/>
      <c r="H1" s="622"/>
      <c r="I1" s="622"/>
      <c r="J1" s="622"/>
      <c r="K1" s="622"/>
      <c r="L1" s="622"/>
      <c r="M1" s="622"/>
      <c r="N1" s="622"/>
      <c r="O1" s="622"/>
      <c r="P1" s="622"/>
    </row>
    <row r="2" spans="1:16" ht="15.75" customHeight="1">
      <c r="A2" s="67"/>
      <c r="B2" s="68"/>
      <c r="C2" s="623" t="s">
        <v>341</v>
      </c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</row>
    <row r="3" spans="1:16" ht="15.75" customHeight="1">
      <c r="A3" s="67"/>
      <c r="B3" s="68"/>
      <c r="C3" s="623" t="s">
        <v>342</v>
      </c>
      <c r="D3" s="623"/>
      <c r="E3" s="623"/>
      <c r="F3" s="623"/>
      <c r="G3" s="623"/>
      <c r="H3" s="623"/>
      <c r="I3" s="623"/>
      <c r="J3" s="623"/>
      <c r="K3" s="623"/>
      <c r="L3" s="623"/>
      <c r="M3" s="623"/>
      <c r="N3" s="623"/>
      <c r="O3" s="623"/>
      <c r="P3" s="623"/>
    </row>
    <row r="4" spans="1:16">
      <c r="A4" s="69"/>
      <c r="B4" s="70"/>
      <c r="C4" s="70"/>
      <c r="D4" s="71"/>
      <c r="E4" s="71"/>
      <c r="F4" s="72"/>
      <c r="G4" s="73"/>
      <c r="H4" s="73"/>
      <c r="I4" s="73"/>
      <c r="J4" s="73"/>
      <c r="K4" s="73"/>
      <c r="L4" s="73"/>
      <c r="M4" s="73"/>
      <c r="N4" s="73"/>
      <c r="O4" s="73"/>
      <c r="P4" s="98"/>
    </row>
    <row r="5" spans="1:16" ht="33.75" customHeight="1">
      <c r="A5" s="624" t="s">
        <v>520</v>
      </c>
      <c r="B5" s="625"/>
      <c r="C5" s="625"/>
      <c r="D5" s="625"/>
      <c r="E5" s="625"/>
      <c r="F5" s="625"/>
      <c r="G5" s="625"/>
      <c r="H5" s="625"/>
      <c r="I5" s="625"/>
      <c r="J5" s="625"/>
      <c r="K5" s="625"/>
      <c r="L5" s="625"/>
      <c r="M5" s="625"/>
      <c r="N5" s="625"/>
      <c r="O5" s="625"/>
      <c r="P5" s="626"/>
    </row>
    <row r="6" spans="1:16">
      <c r="A6" s="74"/>
      <c r="B6" s="75"/>
      <c r="C6" s="75"/>
      <c r="D6" s="76"/>
      <c r="E6" s="77"/>
      <c r="F6" s="78"/>
      <c r="G6" s="78"/>
      <c r="H6" s="78"/>
      <c r="I6" s="78"/>
      <c r="J6" s="73"/>
      <c r="K6" s="73"/>
      <c r="L6" s="73"/>
      <c r="M6" s="73"/>
      <c r="N6" s="73"/>
      <c r="O6" s="73"/>
      <c r="P6" s="98"/>
    </row>
    <row r="7" spans="1:16" ht="15" customHeight="1">
      <c r="A7" s="616" t="s">
        <v>532</v>
      </c>
      <c r="B7" s="617"/>
      <c r="C7" s="617"/>
      <c r="D7" s="617"/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8"/>
    </row>
    <row r="8" spans="1:16">
      <c r="A8" s="619"/>
      <c r="B8" s="620"/>
      <c r="C8" s="620"/>
      <c r="D8" s="620"/>
      <c r="E8" s="620"/>
      <c r="F8" s="620"/>
      <c r="G8" s="620"/>
      <c r="H8" s="620"/>
      <c r="I8" s="620"/>
      <c r="J8" s="620"/>
      <c r="K8" s="620"/>
      <c r="L8" s="620"/>
      <c r="M8" s="620"/>
      <c r="N8" s="620"/>
      <c r="O8" s="620"/>
      <c r="P8" s="621"/>
    </row>
    <row r="9" spans="1:16" ht="23.25">
      <c r="A9" s="79"/>
      <c r="B9" s="80"/>
      <c r="C9" s="80"/>
      <c r="D9" s="80"/>
      <c r="E9" s="80"/>
      <c r="F9" s="80"/>
      <c r="G9" s="73"/>
      <c r="H9" s="73"/>
      <c r="I9" s="73"/>
      <c r="J9" s="73"/>
      <c r="K9" s="73"/>
      <c r="L9" s="73"/>
      <c r="M9" s="73"/>
      <c r="N9" s="73"/>
      <c r="O9" s="73"/>
      <c r="P9" s="98"/>
    </row>
    <row r="10" spans="1:16">
      <c r="A10" s="81" t="s">
        <v>343</v>
      </c>
      <c r="B10" s="82"/>
      <c r="C10" s="627" t="s">
        <v>344</v>
      </c>
      <c r="D10" s="628"/>
      <c r="E10" s="628"/>
      <c r="F10" s="629"/>
      <c r="G10" s="70"/>
      <c r="H10" s="70"/>
      <c r="I10" s="70"/>
      <c r="J10" s="70"/>
      <c r="K10" s="70"/>
      <c r="L10" s="70"/>
      <c r="M10" s="70"/>
      <c r="N10" s="73"/>
      <c r="O10" s="73"/>
      <c r="P10" s="98"/>
    </row>
    <row r="11" spans="1:16">
      <c r="A11" s="83"/>
      <c r="B11" s="84"/>
      <c r="C11" s="85"/>
      <c r="D11" s="84"/>
      <c r="E11" s="73"/>
      <c r="F11" s="73"/>
      <c r="G11" s="70"/>
      <c r="H11" s="70"/>
      <c r="I11" s="70"/>
      <c r="J11" s="70"/>
      <c r="K11" s="70"/>
      <c r="L11" s="70"/>
      <c r="M11" s="70"/>
      <c r="N11" s="73"/>
      <c r="O11" s="73"/>
      <c r="P11" s="98"/>
    </row>
    <row r="12" spans="1:16">
      <c r="A12" s="86" t="s">
        <v>345</v>
      </c>
      <c r="B12" s="87"/>
      <c r="C12" s="612" t="s">
        <v>346</v>
      </c>
      <c r="D12" s="613"/>
      <c r="E12" s="613"/>
      <c r="F12" s="614"/>
      <c r="G12" s="88"/>
      <c r="H12" s="88"/>
      <c r="I12" s="88"/>
      <c r="J12" s="88"/>
      <c r="K12" s="88"/>
      <c r="L12" s="88"/>
      <c r="M12" s="88"/>
      <c r="N12" s="73"/>
      <c r="O12" s="73"/>
      <c r="P12" s="98"/>
    </row>
    <row r="13" spans="1:16">
      <c r="A13" s="83"/>
      <c r="B13" s="84"/>
      <c r="C13" s="85"/>
      <c r="D13" s="84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98"/>
    </row>
    <row r="14" spans="1:16">
      <c r="A14" s="86" t="s">
        <v>347</v>
      </c>
      <c r="B14" s="87"/>
      <c r="C14" s="89">
        <v>100</v>
      </c>
      <c r="D14" s="84" t="s">
        <v>348</v>
      </c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98"/>
    </row>
    <row r="15" spans="1:16">
      <c r="A15" s="83"/>
      <c r="B15" s="84"/>
      <c r="C15" s="84"/>
      <c r="D15" s="84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98"/>
    </row>
    <row r="16" spans="1:16">
      <c r="A16" s="86" t="s">
        <v>349</v>
      </c>
      <c r="B16" s="87"/>
      <c r="C16" s="84"/>
      <c r="D16" s="84"/>
      <c r="E16" s="90" t="s">
        <v>350</v>
      </c>
      <c r="F16" s="84"/>
      <c r="G16" s="84"/>
      <c r="H16" s="85">
        <v>13.03</v>
      </c>
      <c r="I16" s="84" t="s">
        <v>351</v>
      </c>
      <c r="J16" s="73"/>
      <c r="K16" s="73"/>
      <c r="L16" s="73"/>
      <c r="M16" s="73"/>
      <c r="N16" s="73"/>
      <c r="O16" s="73"/>
      <c r="P16" s="98"/>
    </row>
    <row r="17" spans="1:16">
      <c r="A17" s="91"/>
      <c r="B17" s="73"/>
      <c r="C17" s="73"/>
      <c r="D17" s="73"/>
      <c r="E17" s="90" t="s">
        <v>352</v>
      </c>
      <c r="F17" s="84"/>
      <c r="G17" s="84"/>
      <c r="H17" s="85">
        <v>3.4</v>
      </c>
      <c r="I17" s="84" t="s">
        <v>351</v>
      </c>
      <c r="J17" s="73"/>
      <c r="K17" s="73"/>
      <c r="L17" s="73"/>
      <c r="M17" s="99"/>
      <c r="N17" s="73"/>
      <c r="O17" s="73"/>
      <c r="P17" s="98"/>
    </row>
    <row r="18" spans="1:16">
      <c r="A18" s="91"/>
      <c r="B18" s="73"/>
      <c r="C18" s="73"/>
      <c r="D18" s="73"/>
      <c r="E18" s="90" t="s">
        <v>353</v>
      </c>
      <c r="F18" s="84"/>
      <c r="G18" s="84"/>
      <c r="H18" s="85">
        <v>22.2</v>
      </c>
      <c r="I18" s="84" t="s">
        <v>351</v>
      </c>
      <c r="J18" s="73"/>
      <c r="K18" s="73"/>
      <c r="L18" s="73"/>
      <c r="M18" s="99"/>
      <c r="N18" s="73"/>
      <c r="O18" s="73"/>
      <c r="P18" s="98"/>
    </row>
    <row r="19" spans="1:16">
      <c r="A19" s="91"/>
      <c r="B19" s="73"/>
      <c r="C19" s="73"/>
      <c r="D19" s="73"/>
      <c r="E19" s="90" t="s">
        <v>354</v>
      </c>
      <c r="F19" s="84"/>
      <c r="G19" s="84"/>
      <c r="H19" s="85">
        <v>27</v>
      </c>
      <c r="I19" s="84" t="s">
        <v>351</v>
      </c>
      <c r="J19" s="73"/>
      <c r="K19" s="73"/>
      <c r="L19" s="73"/>
      <c r="M19" s="99"/>
      <c r="N19" s="73"/>
      <c r="O19" s="73"/>
      <c r="P19" s="98"/>
    </row>
    <row r="20" spans="1:16">
      <c r="A20" s="91"/>
      <c r="B20" s="73"/>
      <c r="C20" s="73"/>
      <c r="D20" s="73"/>
      <c r="E20" s="90" t="s">
        <v>355</v>
      </c>
      <c r="F20" s="84"/>
      <c r="G20" s="84"/>
      <c r="H20" s="85">
        <v>22.5</v>
      </c>
      <c r="I20" s="84" t="s">
        <v>351</v>
      </c>
      <c r="J20" s="73"/>
      <c r="K20" s="73"/>
      <c r="L20" s="73"/>
      <c r="M20" s="99"/>
      <c r="N20" s="73"/>
      <c r="O20" s="73"/>
      <c r="P20" s="98"/>
    </row>
    <row r="21" spans="1:16">
      <c r="A21" s="91"/>
      <c r="B21" s="73"/>
      <c r="C21" s="73"/>
      <c r="D21" s="73"/>
      <c r="E21" s="90" t="s">
        <v>356</v>
      </c>
      <c r="F21" s="84"/>
      <c r="G21" s="84"/>
      <c r="H21" s="85">
        <v>7.86</v>
      </c>
      <c r="I21" s="84" t="s">
        <v>351</v>
      </c>
      <c r="J21" s="73"/>
      <c r="K21" s="73"/>
      <c r="L21" s="73"/>
      <c r="M21" s="99"/>
      <c r="N21" s="73"/>
      <c r="O21" s="73"/>
      <c r="P21" s="98"/>
    </row>
    <row r="22" spans="1:16">
      <c r="A22" s="91"/>
      <c r="B22" s="73"/>
      <c r="C22" s="73"/>
      <c r="D22" s="73"/>
      <c r="E22" s="90"/>
      <c r="F22" s="84"/>
      <c r="G22" s="84"/>
      <c r="H22" s="85"/>
      <c r="I22" s="84"/>
      <c r="J22" s="73"/>
      <c r="K22" s="73"/>
      <c r="L22" s="73"/>
      <c r="M22" s="99"/>
      <c r="N22" s="73"/>
      <c r="O22" s="73"/>
      <c r="P22" s="98"/>
    </row>
    <row r="23" spans="1:16">
      <c r="A23" s="92" t="s">
        <v>357</v>
      </c>
      <c r="B23" s="93"/>
      <c r="C23" s="73"/>
      <c r="D23" s="73"/>
      <c r="E23" s="90" t="s">
        <v>358</v>
      </c>
      <c r="F23" s="84"/>
      <c r="G23" s="84"/>
      <c r="H23" s="85">
        <v>2</v>
      </c>
      <c r="I23" s="84" t="s">
        <v>351</v>
      </c>
      <c r="J23" s="73"/>
      <c r="K23" s="73"/>
      <c r="L23" s="73"/>
      <c r="M23" s="99"/>
      <c r="N23" s="73"/>
      <c r="O23" s="73"/>
      <c r="P23" s="98"/>
    </row>
    <row r="24" spans="1:16">
      <c r="A24" s="91"/>
      <c r="B24" s="73"/>
      <c r="C24" s="73"/>
      <c r="D24" s="73"/>
      <c r="E24" s="84"/>
      <c r="F24" s="84"/>
      <c r="G24" s="84"/>
      <c r="H24" s="94"/>
      <c r="I24" s="84"/>
      <c r="J24" s="73"/>
      <c r="K24" s="73"/>
      <c r="L24" s="73"/>
      <c r="M24" s="99"/>
      <c r="N24" s="73"/>
      <c r="O24" s="73"/>
      <c r="P24" s="98"/>
    </row>
    <row r="25" spans="1:16">
      <c r="A25" s="91"/>
      <c r="B25" s="73"/>
      <c r="C25" s="73"/>
      <c r="D25" s="73"/>
      <c r="E25" s="90" t="s">
        <v>359</v>
      </c>
      <c r="F25" s="84"/>
      <c r="G25" s="84"/>
      <c r="H25" s="95">
        <f>SUM(H16:H23)</f>
        <v>97.99</v>
      </c>
      <c r="I25" s="90" t="s">
        <v>360</v>
      </c>
      <c r="J25" s="73"/>
      <c r="K25" s="73"/>
      <c r="L25" s="73"/>
      <c r="M25" s="99"/>
      <c r="N25" s="73"/>
      <c r="O25" s="73"/>
      <c r="P25" s="100"/>
    </row>
    <row r="26" spans="1:16">
      <c r="A26" s="91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98"/>
    </row>
    <row r="27" spans="1:16">
      <c r="A27" s="91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98"/>
    </row>
    <row r="28" spans="1:16" ht="15.75">
      <c r="A28" s="92" t="str">
        <f>"Momento de transporte  =  "&amp;TEXT(H25,"0,00")&amp;"  x  "&amp;TEXT(C14,"0,00")&amp;"            =&gt;"</f>
        <v>Momento de transporte  =  97,99  x  100,00            =&gt;</v>
      </c>
      <c r="B28" s="96"/>
      <c r="C28" s="96"/>
      <c r="D28" s="96"/>
      <c r="E28" s="93"/>
      <c r="F28" s="615">
        <f>ROUND(C14*H25,4)</f>
        <v>9799</v>
      </c>
      <c r="G28" s="615"/>
      <c r="H28" s="97" t="s">
        <v>361</v>
      </c>
      <c r="I28" s="101"/>
      <c r="J28" s="101"/>
      <c r="K28" s="101"/>
      <c r="L28" s="101"/>
      <c r="M28" s="101"/>
      <c r="N28" s="101"/>
      <c r="O28" s="101"/>
      <c r="P28" s="102"/>
    </row>
  </sheetData>
  <mergeCells count="8">
    <mergeCell ref="C12:F12"/>
    <mergeCell ref="F28:G28"/>
    <mergeCell ref="A7:P8"/>
    <mergeCell ref="C1:P1"/>
    <mergeCell ref="C2:P2"/>
    <mergeCell ref="C3:P3"/>
    <mergeCell ref="A5:P5"/>
    <mergeCell ref="C10:F10"/>
  </mergeCells>
  <pageMargins left="0.59055118110236204" right="0.59055118110236204" top="0.78740157480314998" bottom="0.59055118110236204" header="0.511811023622047" footer="0.511811023622047"/>
  <pageSetup paperSize="9" scale="79" firstPageNumber="0" orientation="landscape" useFirstPageNumber="1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 tint="0.59999389629810485"/>
    <pageSetUpPr fitToPage="1"/>
  </sheetPr>
  <dimension ref="A1:D45"/>
  <sheetViews>
    <sheetView view="pageBreakPreview" zoomScaleNormal="130" workbookViewId="0">
      <selection activeCell="C15" sqref="C15"/>
    </sheetView>
  </sheetViews>
  <sheetFormatPr defaultColWidth="9" defaultRowHeight="12.75"/>
  <cols>
    <col min="1" max="1" width="9" style="43"/>
    <col min="2" max="2" width="44.85546875" style="43" customWidth="1"/>
    <col min="3" max="3" width="14.85546875" style="43" customWidth="1"/>
    <col min="4" max="4" width="18.42578125" style="43" customWidth="1"/>
    <col min="5" max="16384" width="9" style="43"/>
  </cols>
  <sheetData>
    <row r="1" spans="1:4">
      <c r="A1" s="642" t="s">
        <v>362</v>
      </c>
      <c r="B1" s="642"/>
      <c r="C1" s="642"/>
      <c r="D1" s="637"/>
    </row>
    <row r="2" spans="1:4">
      <c r="A2" s="642" t="s">
        <v>341</v>
      </c>
      <c r="B2" s="642"/>
      <c r="C2" s="642"/>
      <c r="D2" s="637"/>
    </row>
    <row r="3" spans="1:4">
      <c r="A3" s="643" t="s">
        <v>363</v>
      </c>
      <c r="B3" s="643"/>
      <c r="C3" s="643"/>
      <c r="D3" s="637"/>
    </row>
    <row r="5" spans="1:4" ht="42" customHeight="1">
      <c r="A5" s="644" t="s">
        <v>520</v>
      </c>
      <c r="B5" s="645"/>
      <c r="C5" s="645"/>
      <c r="D5" s="646"/>
    </row>
    <row r="7" spans="1:4">
      <c r="A7" s="647" t="s">
        <v>533</v>
      </c>
      <c r="B7" s="648"/>
      <c r="C7" s="648"/>
      <c r="D7" s="649"/>
    </row>
    <row r="9" spans="1:4" ht="15">
      <c r="A9" s="638" t="s">
        <v>364</v>
      </c>
      <c r="B9" s="639"/>
      <c r="C9" s="55" t="s">
        <v>365</v>
      </c>
      <c r="D9" s="55" t="s">
        <v>366</v>
      </c>
    </row>
    <row r="10" spans="1:4" ht="15">
      <c r="A10" s="640"/>
      <c r="B10" s="641"/>
      <c r="C10" s="56" t="s">
        <v>98</v>
      </c>
      <c r="D10" s="56" t="s">
        <v>98</v>
      </c>
    </row>
    <row r="11" spans="1:4">
      <c r="A11" s="57" t="s">
        <v>367</v>
      </c>
      <c r="B11" s="632" t="s">
        <v>368</v>
      </c>
      <c r="C11" s="633"/>
      <c r="D11" s="634"/>
    </row>
    <row r="12" spans="1:4">
      <c r="A12" s="58" t="s">
        <v>369</v>
      </c>
      <c r="B12" s="59" t="s">
        <v>370</v>
      </c>
      <c r="C12" s="60">
        <v>20</v>
      </c>
      <c r="D12" s="60">
        <v>20</v>
      </c>
    </row>
    <row r="13" spans="1:4">
      <c r="A13" s="58" t="s">
        <v>371</v>
      </c>
      <c r="B13" s="59" t="s">
        <v>372</v>
      </c>
      <c r="C13" s="60">
        <v>1.5</v>
      </c>
      <c r="D13" s="60">
        <v>1.5</v>
      </c>
    </row>
    <row r="14" spans="1:4">
      <c r="A14" s="58" t="s">
        <v>373</v>
      </c>
      <c r="B14" s="59" t="s">
        <v>374</v>
      </c>
      <c r="C14" s="60">
        <v>1</v>
      </c>
      <c r="D14" s="60">
        <v>1</v>
      </c>
    </row>
    <row r="15" spans="1:4">
      <c r="A15" s="58" t="s">
        <v>375</v>
      </c>
      <c r="B15" s="59" t="s">
        <v>376</v>
      </c>
      <c r="C15" s="60">
        <v>0.2</v>
      </c>
      <c r="D15" s="60">
        <v>0.2</v>
      </c>
    </row>
    <row r="16" spans="1:4">
      <c r="A16" s="58" t="s">
        <v>377</v>
      </c>
      <c r="B16" s="59" t="s">
        <v>378</v>
      </c>
      <c r="C16" s="60">
        <v>0.6</v>
      </c>
      <c r="D16" s="60">
        <v>0.6</v>
      </c>
    </row>
    <row r="17" spans="1:4">
      <c r="A17" s="58" t="s">
        <v>379</v>
      </c>
      <c r="B17" s="59" t="s">
        <v>380</v>
      </c>
      <c r="C17" s="60">
        <v>2.5</v>
      </c>
      <c r="D17" s="60">
        <v>2.5</v>
      </c>
    </row>
    <row r="18" spans="1:4">
      <c r="A18" s="58" t="s">
        <v>381</v>
      </c>
      <c r="B18" s="59" t="s">
        <v>382</v>
      </c>
      <c r="C18" s="60">
        <v>3</v>
      </c>
      <c r="D18" s="60">
        <v>3</v>
      </c>
    </row>
    <row r="19" spans="1:4">
      <c r="A19" s="58" t="s">
        <v>383</v>
      </c>
      <c r="B19" s="59" t="s">
        <v>384</v>
      </c>
      <c r="C19" s="60">
        <v>8</v>
      </c>
      <c r="D19" s="60">
        <v>8</v>
      </c>
    </row>
    <row r="20" spans="1:4">
      <c r="A20" s="58" t="s">
        <v>385</v>
      </c>
      <c r="B20" s="59" t="s">
        <v>386</v>
      </c>
      <c r="C20" s="60">
        <v>0</v>
      </c>
      <c r="D20" s="60">
        <v>0</v>
      </c>
    </row>
    <row r="21" spans="1:4">
      <c r="A21" s="630" t="s">
        <v>387</v>
      </c>
      <c r="B21" s="631"/>
      <c r="C21" s="61">
        <f>SUM(C12:C20)</f>
        <v>36.799999999999997</v>
      </c>
      <c r="D21" s="61">
        <f>SUM(D12:D20)</f>
        <v>36.799999999999997</v>
      </c>
    </row>
    <row r="22" spans="1:4">
      <c r="A22" s="57" t="s">
        <v>388</v>
      </c>
      <c r="B22" s="632" t="s">
        <v>389</v>
      </c>
      <c r="C22" s="633"/>
      <c r="D22" s="634"/>
    </row>
    <row r="23" spans="1:4">
      <c r="A23" s="58" t="s">
        <v>390</v>
      </c>
      <c r="B23" s="59" t="s">
        <v>391</v>
      </c>
      <c r="C23" s="60">
        <v>17.97</v>
      </c>
      <c r="D23" s="62" t="s">
        <v>392</v>
      </c>
    </row>
    <row r="24" spans="1:4">
      <c r="A24" s="58" t="s">
        <v>393</v>
      </c>
      <c r="B24" s="59" t="s">
        <v>394</v>
      </c>
      <c r="C24" s="60">
        <v>3.97</v>
      </c>
      <c r="D24" s="62" t="s">
        <v>392</v>
      </c>
    </row>
    <row r="25" spans="1:4">
      <c r="A25" s="58" t="s">
        <v>395</v>
      </c>
      <c r="B25" s="59" t="s">
        <v>396</v>
      </c>
      <c r="C25" s="60">
        <v>0.87</v>
      </c>
      <c r="D25" s="62">
        <v>0.66</v>
      </c>
    </row>
    <row r="26" spans="1:4">
      <c r="A26" s="58" t="s">
        <v>397</v>
      </c>
      <c r="B26" s="59" t="s">
        <v>398</v>
      </c>
      <c r="C26" s="60">
        <v>11.02</v>
      </c>
      <c r="D26" s="62">
        <v>8.33</v>
      </c>
    </row>
    <row r="27" spans="1:4">
      <c r="A27" s="58" t="s">
        <v>399</v>
      </c>
      <c r="B27" s="59" t="s">
        <v>400</v>
      </c>
      <c r="C27" s="60">
        <v>7.0000000000000007E-2</v>
      </c>
      <c r="D27" s="62">
        <v>0.05</v>
      </c>
    </row>
    <row r="28" spans="1:4">
      <c r="A28" s="58" t="s">
        <v>401</v>
      </c>
      <c r="B28" s="59" t="s">
        <v>402</v>
      </c>
      <c r="C28" s="60">
        <v>0.73</v>
      </c>
      <c r="D28" s="62">
        <v>0.56000000000000005</v>
      </c>
    </row>
    <row r="29" spans="1:4">
      <c r="A29" s="58" t="s">
        <v>403</v>
      </c>
      <c r="B29" s="59" t="s">
        <v>404</v>
      </c>
      <c r="C29" s="60">
        <v>2.0499999999999998</v>
      </c>
      <c r="D29" s="62" t="s">
        <v>392</v>
      </c>
    </row>
    <row r="30" spans="1:4">
      <c r="A30" s="58" t="s">
        <v>405</v>
      </c>
      <c r="B30" s="59" t="s">
        <v>406</v>
      </c>
      <c r="C30" s="60">
        <v>0.11</v>
      </c>
      <c r="D30" s="62">
        <v>0.08</v>
      </c>
    </row>
    <row r="31" spans="1:4">
      <c r="A31" s="58" t="s">
        <v>407</v>
      </c>
      <c r="B31" s="59" t="s">
        <v>408</v>
      </c>
      <c r="C31" s="60">
        <v>11.21</v>
      </c>
      <c r="D31" s="62">
        <v>8.4700000000000006</v>
      </c>
    </row>
    <row r="32" spans="1:4">
      <c r="A32" s="58" t="s">
        <v>409</v>
      </c>
      <c r="B32" s="59" t="s">
        <v>410</v>
      </c>
      <c r="C32" s="60">
        <v>0.04</v>
      </c>
      <c r="D32" s="62">
        <v>0.03</v>
      </c>
    </row>
    <row r="33" spans="1:4">
      <c r="A33" s="630" t="s">
        <v>411</v>
      </c>
      <c r="B33" s="631"/>
      <c r="C33" s="61">
        <f>SUM(C23:C32)</f>
        <v>48.039999999999992</v>
      </c>
      <c r="D33" s="63">
        <f>SUM(D25,D26,D27,D28,D30,D31,D32)</f>
        <v>18.180000000000003</v>
      </c>
    </row>
    <row r="34" spans="1:4">
      <c r="A34" s="57" t="s">
        <v>412</v>
      </c>
      <c r="B34" s="632" t="s">
        <v>413</v>
      </c>
      <c r="C34" s="633"/>
      <c r="D34" s="634"/>
    </row>
    <row r="35" spans="1:4">
      <c r="A35" s="58" t="s">
        <v>414</v>
      </c>
      <c r="B35" s="59" t="s">
        <v>415</v>
      </c>
      <c r="C35" s="60">
        <v>5.47</v>
      </c>
      <c r="D35" s="60">
        <v>4.13</v>
      </c>
    </row>
    <row r="36" spans="1:4">
      <c r="A36" s="58" t="s">
        <v>416</v>
      </c>
      <c r="B36" s="59" t="s">
        <v>417</v>
      </c>
      <c r="C36" s="60">
        <v>0.13</v>
      </c>
      <c r="D36" s="60">
        <v>0.1</v>
      </c>
    </row>
    <row r="37" spans="1:4">
      <c r="A37" s="58" t="s">
        <v>418</v>
      </c>
      <c r="B37" s="59" t="s">
        <v>419</v>
      </c>
      <c r="C37" s="60">
        <v>2.95</v>
      </c>
      <c r="D37" s="60">
        <v>2.23</v>
      </c>
    </row>
    <row r="38" spans="1:4">
      <c r="A38" s="58" t="s">
        <v>420</v>
      </c>
      <c r="B38" s="59" t="s">
        <v>421</v>
      </c>
      <c r="C38" s="60">
        <v>3.13</v>
      </c>
      <c r="D38" s="60">
        <v>2.37</v>
      </c>
    </row>
    <row r="39" spans="1:4">
      <c r="A39" s="58" t="s">
        <v>422</v>
      </c>
      <c r="B39" s="59" t="s">
        <v>423</v>
      </c>
      <c r="C39" s="60">
        <v>0.46</v>
      </c>
      <c r="D39" s="60">
        <v>0.35</v>
      </c>
    </row>
    <row r="40" spans="1:4">
      <c r="A40" s="630" t="s">
        <v>424</v>
      </c>
      <c r="B40" s="631"/>
      <c r="C40" s="61">
        <f>SUM(C35:C39)</f>
        <v>12.14</v>
      </c>
      <c r="D40" s="61">
        <f>SUM(D35:D39)</f>
        <v>9.1799999999999979</v>
      </c>
    </row>
    <row r="41" spans="1:4" ht="13.5" customHeight="1">
      <c r="A41" s="57" t="s">
        <v>425</v>
      </c>
      <c r="B41" s="632" t="s">
        <v>426</v>
      </c>
      <c r="C41" s="633"/>
      <c r="D41" s="634"/>
    </row>
    <row r="42" spans="1:4">
      <c r="A42" s="58" t="s">
        <v>427</v>
      </c>
      <c r="B42" s="59" t="s">
        <v>428</v>
      </c>
      <c r="C42" s="60">
        <v>17.68</v>
      </c>
      <c r="D42" s="60">
        <v>6.69</v>
      </c>
    </row>
    <row r="43" spans="1:4" ht="38.25">
      <c r="A43" s="58" t="s">
        <v>429</v>
      </c>
      <c r="B43" s="59" t="s">
        <v>430</v>
      </c>
      <c r="C43" s="60">
        <v>0.49</v>
      </c>
      <c r="D43" s="60">
        <v>0.37</v>
      </c>
    </row>
    <row r="44" spans="1:4">
      <c r="A44" s="630" t="s">
        <v>431</v>
      </c>
      <c r="B44" s="631"/>
      <c r="C44" s="61">
        <f>SUM(C42:C43)</f>
        <v>18.169999999999998</v>
      </c>
      <c r="D44" s="61">
        <f>SUM(D42:D43)</f>
        <v>7.0600000000000005</v>
      </c>
    </row>
    <row r="45" spans="1:4" ht="38.25" customHeight="1">
      <c r="A45" s="635" t="s">
        <v>432</v>
      </c>
      <c r="B45" s="636"/>
      <c r="C45" s="64">
        <f>SUM(C21,C33,C40,C44)</f>
        <v>115.14999999999999</v>
      </c>
      <c r="D45" s="64">
        <f>SUM(D21,D33,D40,D44)</f>
        <v>71.22</v>
      </c>
    </row>
  </sheetData>
  <mergeCells count="16">
    <mergeCell ref="A40:B40"/>
    <mergeCell ref="B41:D41"/>
    <mergeCell ref="A44:B44"/>
    <mergeCell ref="A45:B45"/>
    <mergeCell ref="D1:D3"/>
    <mergeCell ref="A9:B10"/>
    <mergeCell ref="B11:D11"/>
    <mergeCell ref="A21:B21"/>
    <mergeCell ref="B22:D22"/>
    <mergeCell ref="A33:B33"/>
    <mergeCell ref="B34:D34"/>
    <mergeCell ref="A1:C1"/>
    <mergeCell ref="A2:C2"/>
    <mergeCell ref="A3:C3"/>
    <mergeCell ref="A5:D5"/>
    <mergeCell ref="A7:D7"/>
  </mergeCells>
  <pageMargins left="0.98425196850393704" right="0.59055118110236204" top="0.98425196850393704" bottom="0.78740157480314998" header="0.31496062992126" footer="0.31496062992126"/>
  <pageSetup paperSize="9" scale="97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 tint="0.59999389629810485"/>
    <pageSetUpPr fitToPage="1"/>
  </sheetPr>
  <dimension ref="B2:P37"/>
  <sheetViews>
    <sheetView view="pageBreakPreview" zoomScaleNormal="100" workbookViewId="0">
      <selection activeCell="C4" sqref="C4:I4"/>
    </sheetView>
  </sheetViews>
  <sheetFormatPr defaultColWidth="10.28515625" defaultRowHeight="14.25"/>
  <cols>
    <col min="1" max="1" width="10.28515625" style="1"/>
    <col min="2" max="2" width="13.5703125" style="1" customWidth="1"/>
    <col min="3" max="3" width="47" style="1" customWidth="1"/>
    <col min="4" max="5" width="10.28515625" style="1"/>
    <col min="6" max="6" width="11" style="1" customWidth="1"/>
    <col min="7" max="8" width="10.28515625" style="1"/>
    <col min="9" max="9" width="11" style="1" customWidth="1"/>
    <col min="10" max="16384" width="10.28515625" style="1"/>
  </cols>
  <sheetData>
    <row r="2" spans="2:16" ht="18">
      <c r="B2" s="650" t="s">
        <v>534</v>
      </c>
      <c r="C2" s="651"/>
      <c r="D2" s="651"/>
      <c r="E2" s="651"/>
      <c r="F2" s="651"/>
      <c r="G2" s="651"/>
      <c r="H2" s="651"/>
      <c r="I2" s="652"/>
      <c r="J2" s="43"/>
      <c r="K2" s="43"/>
      <c r="L2" s="43"/>
      <c r="M2" s="43"/>
      <c r="N2" s="43"/>
      <c r="O2" s="43"/>
      <c r="P2" s="43"/>
    </row>
    <row r="3" spans="2:16" ht="20.25">
      <c r="B3" s="653"/>
      <c r="C3" s="654"/>
      <c r="D3" s="654"/>
      <c r="E3" s="654"/>
      <c r="F3" s="654"/>
      <c r="G3" s="654"/>
      <c r="H3" s="654"/>
      <c r="I3" s="655"/>
      <c r="J3" s="43"/>
      <c r="K3" s="43"/>
      <c r="L3" s="43"/>
      <c r="M3" s="43"/>
      <c r="N3" s="43"/>
      <c r="O3" s="43"/>
      <c r="P3" s="43"/>
    </row>
    <row r="4" spans="2:16" ht="43.5" customHeight="1">
      <c r="B4" s="2" t="s">
        <v>433</v>
      </c>
      <c r="C4" s="656" t="s">
        <v>519</v>
      </c>
      <c r="D4" s="657"/>
      <c r="E4" s="657"/>
      <c r="F4" s="657"/>
      <c r="G4" s="657"/>
      <c r="H4" s="657"/>
      <c r="I4" s="658"/>
      <c r="J4" s="43"/>
      <c r="K4" s="43"/>
      <c r="L4" s="43"/>
      <c r="M4" s="43"/>
      <c r="N4" s="43"/>
      <c r="O4" s="43"/>
      <c r="P4" s="43"/>
    </row>
    <row r="5" spans="2:16" ht="15.75">
      <c r="B5" s="3"/>
      <c r="C5" s="659"/>
      <c r="D5" s="659"/>
      <c r="E5" s="659"/>
      <c r="F5" s="659"/>
      <c r="G5" s="659"/>
      <c r="H5" s="659"/>
      <c r="I5" s="660"/>
      <c r="J5" s="43"/>
      <c r="K5" s="43"/>
      <c r="L5" s="43"/>
      <c r="M5" s="43"/>
      <c r="N5" s="43"/>
      <c r="O5" s="43"/>
      <c r="P5" s="43"/>
    </row>
    <row r="6" spans="2:16" ht="18">
      <c r="B6" s="661" t="s">
        <v>434</v>
      </c>
      <c r="C6" s="662"/>
      <c r="D6" s="662"/>
      <c r="E6" s="662"/>
      <c r="F6" s="662"/>
      <c r="G6" s="662"/>
      <c r="H6" s="662"/>
      <c r="I6" s="663"/>
      <c r="J6" s="43"/>
      <c r="K6" s="43"/>
      <c r="L6" s="43"/>
      <c r="M6" s="43"/>
      <c r="N6" s="43"/>
      <c r="O6" s="43"/>
      <c r="P6" s="43"/>
    </row>
    <row r="7" spans="2:16" ht="15">
      <c r="B7" s="4"/>
      <c r="C7" s="5"/>
      <c r="D7" s="5"/>
      <c r="E7" s="5"/>
      <c r="F7" s="5"/>
      <c r="G7" s="6"/>
      <c r="H7" s="6"/>
      <c r="I7" s="44"/>
      <c r="J7" s="43"/>
      <c r="K7" s="43"/>
      <c r="L7" s="43"/>
      <c r="M7" s="664" t="s">
        <v>435</v>
      </c>
      <c r="N7" s="664"/>
      <c r="O7" s="664"/>
      <c r="P7" s="664"/>
    </row>
    <row r="8" spans="2:16" ht="15">
      <c r="B8" s="665" t="s">
        <v>436</v>
      </c>
      <c r="C8" s="666"/>
      <c r="D8" s="667"/>
      <c r="E8" s="5"/>
      <c r="F8" s="704" t="s">
        <v>437</v>
      </c>
      <c r="G8" s="705"/>
      <c r="H8" s="705"/>
      <c r="I8" s="706"/>
      <c r="J8" s="43"/>
      <c r="K8" s="43"/>
      <c r="L8" s="43"/>
      <c r="M8" s="710" t="s">
        <v>437</v>
      </c>
      <c r="N8" s="711"/>
      <c r="O8" s="711"/>
      <c r="P8" s="712"/>
    </row>
    <row r="9" spans="2:16">
      <c r="B9" s="718" t="s">
        <v>18</v>
      </c>
      <c r="C9" s="722" t="s">
        <v>438</v>
      </c>
      <c r="D9" s="726" t="s">
        <v>439</v>
      </c>
      <c r="E9" s="7"/>
      <c r="F9" s="707"/>
      <c r="G9" s="708"/>
      <c r="H9" s="708"/>
      <c r="I9" s="709"/>
      <c r="J9" s="43"/>
      <c r="K9" s="43"/>
      <c r="L9" s="43"/>
      <c r="M9" s="713"/>
      <c r="N9" s="714"/>
      <c r="O9" s="714"/>
      <c r="P9" s="715"/>
    </row>
    <row r="10" spans="2:16">
      <c r="B10" s="719"/>
      <c r="C10" s="723"/>
      <c r="D10" s="727"/>
      <c r="E10" s="7"/>
      <c r="F10" s="8" t="s">
        <v>440</v>
      </c>
      <c r="G10" s="668" t="s">
        <v>441</v>
      </c>
      <c r="H10" s="669"/>
      <c r="I10" s="45" t="s">
        <v>442</v>
      </c>
      <c r="J10" s="43"/>
      <c r="K10" s="43"/>
      <c r="L10" s="43"/>
      <c r="M10" s="8" t="s">
        <v>440</v>
      </c>
      <c r="N10" s="668" t="s">
        <v>441</v>
      </c>
      <c r="O10" s="669"/>
      <c r="P10" s="45" t="s">
        <v>442</v>
      </c>
    </row>
    <row r="11" spans="2:16" ht="15">
      <c r="B11" s="670"/>
      <c r="C11" s="671"/>
      <c r="D11" s="671"/>
      <c r="E11" s="9"/>
      <c r="F11" s="9"/>
      <c r="G11" s="6"/>
      <c r="H11" s="6"/>
      <c r="I11" s="44"/>
      <c r="J11" s="43"/>
      <c r="K11" s="43"/>
      <c r="L11" s="43"/>
      <c r="M11" s="9"/>
      <c r="N11" s="6"/>
      <c r="O11" s="6"/>
      <c r="P11" s="44"/>
    </row>
    <row r="12" spans="2:16">
      <c r="B12" s="10" t="s">
        <v>443</v>
      </c>
      <c r="C12" s="672" t="s">
        <v>444</v>
      </c>
      <c r="D12" s="673"/>
      <c r="E12" s="11"/>
      <c r="F12" s="12"/>
      <c r="G12" s="674"/>
      <c r="H12" s="675"/>
      <c r="I12" s="46"/>
      <c r="J12" s="43"/>
      <c r="K12" s="43"/>
      <c r="L12" s="43"/>
      <c r="M12" s="12"/>
      <c r="N12" s="674"/>
      <c r="O12" s="675"/>
      <c r="P12" s="46"/>
    </row>
    <row r="13" spans="2:16" ht="15">
      <c r="B13" s="13" t="s">
        <v>369</v>
      </c>
      <c r="C13" s="14" t="s">
        <v>445</v>
      </c>
      <c r="D13" s="15">
        <f>G13</f>
        <v>4.0000000000000001E-3</v>
      </c>
      <c r="E13" s="16"/>
      <c r="F13" s="17">
        <v>3.2000000000000002E-3</v>
      </c>
      <c r="G13" s="676">
        <v>4.0000000000000001E-3</v>
      </c>
      <c r="H13" s="677"/>
      <c r="I13" s="47">
        <v>7.4000000000000003E-3</v>
      </c>
      <c r="J13" s="43"/>
      <c r="K13" s="43"/>
      <c r="L13" s="43"/>
      <c r="M13" s="17">
        <v>3.2000000000000002E-3</v>
      </c>
      <c r="N13" s="676">
        <v>4.0000000000000001E-3</v>
      </c>
      <c r="O13" s="677"/>
      <c r="P13" s="47">
        <v>7.4000000000000003E-3</v>
      </c>
    </row>
    <row r="14" spans="2:16" ht="15">
      <c r="B14" s="13" t="s">
        <v>371</v>
      </c>
      <c r="C14" s="14" t="s">
        <v>446</v>
      </c>
      <c r="D14" s="15">
        <f t="shared" ref="D14:D16" si="0">G14</f>
        <v>5.5999999999999999E-3</v>
      </c>
      <c r="E14" s="16"/>
      <c r="F14" s="17">
        <v>5.0000000000000001E-3</v>
      </c>
      <c r="G14" s="676">
        <v>5.5999999999999999E-3</v>
      </c>
      <c r="H14" s="677"/>
      <c r="I14" s="47">
        <v>9.7000000000000003E-3</v>
      </c>
      <c r="J14" s="43"/>
      <c r="K14" s="43"/>
      <c r="L14" s="43"/>
      <c r="M14" s="17">
        <v>5.0000000000000001E-3</v>
      </c>
      <c r="N14" s="676">
        <v>5.5999999999999999E-3</v>
      </c>
      <c r="O14" s="677"/>
      <c r="P14" s="47">
        <v>9.7000000000000003E-3</v>
      </c>
    </row>
    <row r="15" spans="2:16" ht="15">
      <c r="B15" s="13" t="s">
        <v>373</v>
      </c>
      <c r="C15" s="14" t="s">
        <v>447</v>
      </c>
      <c r="D15" s="15">
        <f t="shared" si="0"/>
        <v>1.11E-2</v>
      </c>
      <c r="E15" s="16"/>
      <c r="F15" s="18">
        <v>1.0200000000000001E-2</v>
      </c>
      <c r="G15" s="676">
        <v>1.11E-2</v>
      </c>
      <c r="H15" s="677"/>
      <c r="I15" s="47">
        <v>1.21E-2</v>
      </c>
      <c r="J15" s="43"/>
      <c r="K15" s="43"/>
      <c r="L15" s="43"/>
      <c r="M15" s="18">
        <v>1.0200000000000001E-2</v>
      </c>
      <c r="N15" s="676">
        <v>1.11E-2</v>
      </c>
      <c r="O15" s="677"/>
      <c r="P15" s="47">
        <v>1.21E-2</v>
      </c>
    </row>
    <row r="16" spans="2:16" ht="15">
      <c r="B16" s="13" t="s">
        <v>375</v>
      </c>
      <c r="C16" s="14" t="s">
        <v>448</v>
      </c>
      <c r="D16" s="15">
        <f t="shared" si="0"/>
        <v>4.0099999999999997E-2</v>
      </c>
      <c r="E16" s="16"/>
      <c r="F16" s="18">
        <v>3.7999999999999999E-2</v>
      </c>
      <c r="G16" s="676">
        <v>4.0099999999999997E-2</v>
      </c>
      <c r="H16" s="677"/>
      <c r="I16" s="47">
        <v>4.6699999999999998E-2</v>
      </c>
      <c r="J16" s="43"/>
      <c r="K16" s="43"/>
      <c r="L16" s="43"/>
      <c r="M16" s="18">
        <v>3.7999999999999999E-2</v>
      </c>
      <c r="N16" s="676">
        <v>4.0099999999999997E-2</v>
      </c>
      <c r="O16" s="677"/>
      <c r="P16" s="47">
        <v>4.6699999999999998E-2</v>
      </c>
    </row>
    <row r="17" spans="2:16" ht="15">
      <c r="B17" s="678" t="s">
        <v>449</v>
      </c>
      <c r="C17" s="679"/>
      <c r="D17" s="19">
        <f>SUM(D13:D16)</f>
        <v>6.08E-2</v>
      </c>
      <c r="E17" s="20"/>
      <c r="F17" s="21"/>
      <c r="G17" s="680"/>
      <c r="H17" s="681"/>
      <c r="I17" s="48"/>
      <c r="J17" s="43"/>
      <c r="K17" s="43"/>
      <c r="L17" s="43"/>
      <c r="M17" s="21"/>
      <c r="N17" s="680"/>
      <c r="O17" s="681"/>
      <c r="P17" s="48"/>
    </row>
    <row r="18" spans="2:16" ht="15">
      <c r="B18" s="682"/>
      <c r="C18" s="683"/>
      <c r="D18" s="683"/>
      <c r="E18" s="22"/>
      <c r="F18" s="16"/>
      <c r="G18" s="16"/>
      <c r="H18" s="16"/>
      <c r="I18" s="49"/>
      <c r="J18" s="43"/>
      <c r="K18" s="43"/>
      <c r="L18" s="43"/>
      <c r="M18" s="16"/>
      <c r="N18" s="16"/>
      <c r="O18" s="16"/>
      <c r="P18" s="49"/>
    </row>
    <row r="19" spans="2:16" ht="15">
      <c r="B19" s="10" t="s">
        <v>450</v>
      </c>
      <c r="C19" s="672" t="s">
        <v>451</v>
      </c>
      <c r="D19" s="673"/>
      <c r="E19" s="11"/>
      <c r="F19" s="23"/>
      <c r="G19" s="684"/>
      <c r="H19" s="685"/>
      <c r="I19" s="50"/>
      <c r="J19" s="43"/>
      <c r="K19" s="43"/>
      <c r="L19" s="43"/>
      <c r="M19" s="23"/>
      <c r="N19" s="684"/>
      <c r="O19" s="685"/>
      <c r="P19" s="50"/>
    </row>
    <row r="20" spans="2:16" ht="15">
      <c r="B20" s="13" t="s">
        <v>452</v>
      </c>
      <c r="C20" s="14" t="s">
        <v>453</v>
      </c>
      <c r="D20" s="15">
        <v>6.8599999999999994E-2</v>
      </c>
      <c r="E20" s="16"/>
      <c r="F20" s="18">
        <v>6.6400000000000001E-2</v>
      </c>
      <c r="G20" s="676">
        <v>7.2999999999999995E-2</v>
      </c>
      <c r="H20" s="677"/>
      <c r="I20" s="47">
        <v>8.6900000000000005E-2</v>
      </c>
      <c r="J20" s="43"/>
      <c r="K20" s="43"/>
      <c r="L20" s="43"/>
      <c r="M20" s="18">
        <v>6.6400000000000001E-2</v>
      </c>
      <c r="N20" s="676">
        <v>7.2999999999999995E-2</v>
      </c>
      <c r="O20" s="677"/>
      <c r="P20" s="47">
        <v>8.6900000000000005E-2</v>
      </c>
    </row>
    <row r="21" spans="2:16" ht="15">
      <c r="B21" s="678" t="s">
        <v>454</v>
      </c>
      <c r="C21" s="679"/>
      <c r="D21" s="19">
        <f>SUM(D20)</f>
        <v>6.8599999999999994E-2</v>
      </c>
      <c r="E21" s="20"/>
      <c r="F21" s="21"/>
      <c r="G21" s="680"/>
      <c r="H21" s="681"/>
      <c r="I21" s="48"/>
      <c r="J21" s="43"/>
      <c r="K21" s="43"/>
      <c r="L21" s="43"/>
      <c r="M21" s="21"/>
      <c r="N21" s="680"/>
      <c r="O21" s="681"/>
      <c r="P21" s="48"/>
    </row>
    <row r="22" spans="2:16" ht="15">
      <c r="B22" s="682"/>
      <c r="C22" s="683"/>
      <c r="D22" s="683"/>
      <c r="E22" s="22"/>
      <c r="F22" s="16"/>
      <c r="G22" s="16"/>
      <c r="H22" s="16"/>
      <c r="I22" s="49"/>
      <c r="J22" s="43"/>
      <c r="K22" s="43"/>
      <c r="L22" s="43"/>
      <c r="M22" s="43"/>
      <c r="N22" s="43"/>
      <c r="O22" s="43"/>
      <c r="P22" s="43"/>
    </row>
    <row r="23" spans="2:16">
      <c r="B23" s="10" t="s">
        <v>455</v>
      </c>
      <c r="C23" s="672" t="s">
        <v>456</v>
      </c>
      <c r="D23" s="673"/>
      <c r="E23" s="11"/>
      <c r="F23" s="730" t="s">
        <v>457</v>
      </c>
      <c r="G23" s="731"/>
      <c r="H23" s="731"/>
      <c r="I23" s="732"/>
      <c r="J23" s="43"/>
      <c r="K23" s="43"/>
      <c r="L23" s="43"/>
      <c r="M23" s="43"/>
      <c r="N23" s="43"/>
      <c r="O23" s="43"/>
      <c r="P23" s="43"/>
    </row>
    <row r="24" spans="2:16" ht="19.5" customHeight="1">
      <c r="B24" s="13" t="s">
        <v>458</v>
      </c>
      <c r="C24" s="14" t="s">
        <v>459</v>
      </c>
      <c r="D24" s="15">
        <v>6.4999999999999997E-3</v>
      </c>
      <c r="E24" s="16"/>
      <c r="F24" s="686" t="s">
        <v>460</v>
      </c>
      <c r="G24" s="700" t="s">
        <v>461</v>
      </c>
      <c r="H24" s="701"/>
      <c r="I24" s="688" t="s">
        <v>462</v>
      </c>
      <c r="J24" s="43"/>
      <c r="K24" s="43"/>
      <c r="L24" s="43"/>
      <c r="M24" s="43"/>
      <c r="N24" s="43"/>
      <c r="O24" s="43"/>
      <c r="P24" s="43"/>
    </row>
    <row r="25" spans="2:16" ht="19.5" customHeight="1">
      <c r="B25" s="13" t="s">
        <v>463</v>
      </c>
      <c r="C25" s="14" t="s">
        <v>464</v>
      </c>
      <c r="D25" s="15">
        <v>0.03</v>
      </c>
      <c r="E25" s="16"/>
      <c r="F25" s="687"/>
      <c r="G25" s="702"/>
      <c r="H25" s="703"/>
      <c r="I25" s="689"/>
      <c r="J25" s="43"/>
      <c r="K25" s="43"/>
      <c r="L25" s="43"/>
      <c r="M25" s="43"/>
      <c r="N25" s="43"/>
      <c r="O25" s="43"/>
      <c r="P25" s="43"/>
    </row>
    <row r="26" spans="2:16" ht="15">
      <c r="B26" s="720" t="s">
        <v>465</v>
      </c>
      <c r="C26" s="724" t="s">
        <v>466</v>
      </c>
      <c r="D26" s="728">
        <f>I27</f>
        <v>0.03</v>
      </c>
      <c r="E26" s="16"/>
      <c r="F26" s="26"/>
      <c r="G26" s="16"/>
      <c r="H26" s="16"/>
      <c r="I26" s="49"/>
      <c r="J26" s="43"/>
      <c r="K26" s="43"/>
      <c r="L26" s="43"/>
      <c r="M26" s="43"/>
      <c r="N26" s="43"/>
      <c r="O26" s="43"/>
      <c r="P26" s="43"/>
    </row>
    <row r="27" spans="2:16" ht="15">
      <c r="B27" s="721"/>
      <c r="C27" s="725"/>
      <c r="D27" s="729"/>
      <c r="E27" s="16"/>
      <c r="F27" s="27">
        <v>0.05</v>
      </c>
      <c r="G27" s="733">
        <v>0.6</v>
      </c>
      <c r="H27" s="734"/>
      <c r="I27" s="51">
        <f>G27*F27</f>
        <v>0.03</v>
      </c>
      <c r="J27" s="43"/>
      <c r="K27" s="43"/>
      <c r="L27" s="43"/>
      <c r="M27" s="43"/>
      <c r="N27" s="43"/>
      <c r="O27" s="43"/>
      <c r="P27" s="43"/>
    </row>
    <row r="28" spans="2:16" ht="15">
      <c r="B28" s="24" t="s">
        <v>467</v>
      </c>
      <c r="C28" s="28" t="s">
        <v>468</v>
      </c>
      <c r="D28" s="25">
        <v>0</v>
      </c>
      <c r="E28" s="16"/>
      <c r="F28" s="29"/>
      <c r="G28" s="29"/>
      <c r="H28" s="29"/>
      <c r="I28" s="52"/>
      <c r="J28" s="43"/>
      <c r="K28" s="43"/>
      <c r="L28" s="43"/>
      <c r="M28" s="43"/>
      <c r="N28" s="43"/>
      <c r="O28" s="43"/>
      <c r="P28" s="43"/>
    </row>
    <row r="29" spans="2:16" ht="15">
      <c r="B29" s="678" t="s">
        <v>469</v>
      </c>
      <c r="C29" s="679"/>
      <c r="D29" s="19">
        <f>SUM(D24:D28)</f>
        <v>6.6500000000000004E-2</v>
      </c>
      <c r="E29" s="20"/>
      <c r="F29" s="30"/>
      <c r="G29" s="30"/>
      <c r="H29" s="30"/>
      <c r="I29" s="53"/>
      <c r="J29" s="43"/>
      <c r="K29" s="43"/>
      <c r="L29" s="43"/>
      <c r="M29" s="43"/>
      <c r="N29" s="43"/>
      <c r="O29" s="43"/>
      <c r="P29" s="43"/>
    </row>
    <row r="30" spans="2:16" ht="15">
      <c r="B30" s="716"/>
      <c r="C30" s="717"/>
      <c r="D30" s="717"/>
      <c r="E30" s="22"/>
      <c r="F30" s="30"/>
      <c r="G30" s="30"/>
      <c r="H30" s="30"/>
      <c r="I30" s="53"/>
      <c r="J30" s="43"/>
      <c r="K30" s="43"/>
      <c r="L30" s="43"/>
      <c r="M30" s="43"/>
      <c r="N30" s="43"/>
      <c r="O30" s="43"/>
      <c r="P30" s="43"/>
    </row>
    <row r="31" spans="2:16" ht="15">
      <c r="B31" s="31"/>
      <c r="C31" s="11" t="s">
        <v>470</v>
      </c>
      <c r="D31" s="32"/>
      <c r="E31" s="32"/>
      <c r="F31" s="30"/>
      <c r="G31" s="30"/>
      <c r="H31" s="30"/>
      <c r="I31" s="53"/>
      <c r="J31" s="43"/>
      <c r="K31" s="43"/>
      <c r="L31" s="43"/>
      <c r="M31" s="43"/>
      <c r="N31" s="43"/>
      <c r="O31" s="43"/>
      <c r="P31" s="43"/>
    </row>
    <row r="32" spans="2:16" ht="15">
      <c r="B32" s="33"/>
      <c r="C32" s="22"/>
      <c r="D32" s="22"/>
      <c r="E32" s="22"/>
      <c r="F32" s="30"/>
      <c r="G32" s="30"/>
      <c r="H32" s="30"/>
      <c r="I32" s="53"/>
      <c r="J32" s="43"/>
      <c r="K32" s="43"/>
      <c r="L32" s="43"/>
      <c r="M32" s="43"/>
      <c r="N32" s="43"/>
      <c r="O32" s="43"/>
      <c r="P32" s="43"/>
    </row>
    <row r="33" spans="2:9" ht="15">
      <c r="B33" s="690" t="s">
        <v>471</v>
      </c>
      <c r="C33" s="691"/>
      <c r="D33" s="692"/>
      <c r="E33" s="34"/>
      <c r="F33" s="30"/>
      <c r="G33" s="30"/>
      <c r="H33" s="30"/>
      <c r="I33" s="53"/>
    </row>
    <row r="34" spans="2:9" ht="15">
      <c r="B34" s="693"/>
      <c r="C34" s="694"/>
      <c r="D34" s="695"/>
      <c r="E34" s="34"/>
      <c r="F34" s="30"/>
      <c r="G34" s="30"/>
      <c r="H34" s="30"/>
      <c r="I34" s="53"/>
    </row>
    <row r="35" spans="2:9" ht="15">
      <c r="B35" s="35"/>
      <c r="C35" s="36"/>
      <c r="D35" s="37"/>
      <c r="E35" s="37"/>
      <c r="F35" s="30"/>
      <c r="G35" s="30"/>
      <c r="H35" s="30"/>
      <c r="I35" s="53"/>
    </row>
    <row r="36" spans="2:9" ht="15.75">
      <c r="B36" s="696" t="s">
        <v>472</v>
      </c>
      <c r="C36" s="697"/>
      <c r="D36" s="38">
        <f>(((1+D16+D13+D14)*(1+D15)*(1+D21))/(1-D29))-1</f>
        <v>0.21495489508516363</v>
      </c>
      <c r="E36" s="39"/>
      <c r="F36" s="30"/>
      <c r="G36" s="30"/>
      <c r="H36" s="30"/>
      <c r="I36" s="53"/>
    </row>
    <row r="37" spans="2:9" ht="15.75">
      <c r="B37" s="698"/>
      <c r="C37" s="699"/>
      <c r="D37" s="40"/>
      <c r="E37" s="41"/>
      <c r="F37" s="42"/>
      <c r="G37" s="42"/>
      <c r="H37" s="42"/>
      <c r="I37" s="54"/>
    </row>
  </sheetData>
  <mergeCells count="52">
    <mergeCell ref="B33:D34"/>
    <mergeCell ref="B36:C37"/>
    <mergeCell ref="G24:H25"/>
    <mergeCell ref="F8:I9"/>
    <mergeCell ref="M8:P9"/>
    <mergeCell ref="B30:D30"/>
    <mergeCell ref="B9:B10"/>
    <mergeCell ref="B26:B27"/>
    <mergeCell ref="C9:C10"/>
    <mergeCell ref="C26:C27"/>
    <mergeCell ref="D9:D10"/>
    <mergeCell ref="D26:D27"/>
    <mergeCell ref="B22:D22"/>
    <mergeCell ref="C23:D23"/>
    <mergeCell ref="F23:I23"/>
    <mergeCell ref="G27:H27"/>
    <mergeCell ref="B29:C29"/>
    <mergeCell ref="F24:F25"/>
    <mergeCell ref="I24:I25"/>
    <mergeCell ref="G20:H20"/>
    <mergeCell ref="N20:O20"/>
    <mergeCell ref="B21:C21"/>
    <mergeCell ref="G21:H21"/>
    <mergeCell ref="N21:O21"/>
    <mergeCell ref="B17:C17"/>
    <mergeCell ref="G17:H17"/>
    <mergeCell ref="N17:O17"/>
    <mergeCell ref="B18:D18"/>
    <mergeCell ref="C19:D19"/>
    <mergeCell ref="G19:H19"/>
    <mergeCell ref="N19:O19"/>
    <mergeCell ref="G14:H14"/>
    <mergeCell ref="N14:O14"/>
    <mergeCell ref="G15:H15"/>
    <mergeCell ref="N15:O15"/>
    <mergeCell ref="G16:H16"/>
    <mergeCell ref="N16:O16"/>
    <mergeCell ref="C12:D12"/>
    <mergeCell ref="G12:H12"/>
    <mergeCell ref="N12:O12"/>
    <mergeCell ref="G13:H13"/>
    <mergeCell ref="N13:O13"/>
    <mergeCell ref="M7:P7"/>
    <mergeCell ref="B8:D8"/>
    <mergeCell ref="G10:H10"/>
    <mergeCell ref="N10:O10"/>
    <mergeCell ref="B11:D11"/>
    <mergeCell ref="B2:I2"/>
    <mergeCell ref="B3:I3"/>
    <mergeCell ref="C4:I4"/>
    <mergeCell ref="C5:I5"/>
    <mergeCell ref="B6:I6"/>
  </mergeCells>
  <pageMargins left="0.511811024" right="0.511811024" top="0.78740157499999996" bottom="0.78740157499999996" header="0.31496062000000002" footer="0.31496062000000002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AMH47"/>
  <sheetViews>
    <sheetView tabSelected="1" view="pageBreakPreview" zoomScale="70" zoomScaleNormal="66" zoomScaleSheetLayoutView="70" workbookViewId="0">
      <selection activeCell="B11" sqref="B11:F11"/>
    </sheetView>
  </sheetViews>
  <sheetFormatPr defaultColWidth="9.140625" defaultRowHeight="15"/>
  <cols>
    <col min="1" max="1" width="9.140625" style="286"/>
    <col min="2" max="2" width="19.5703125" style="289" customWidth="1"/>
    <col min="3" max="3" width="21.140625" style="289" customWidth="1"/>
    <col min="4" max="4" width="79.85546875" style="286" customWidth="1"/>
    <col min="5" max="5" width="14.85546875" style="289" customWidth="1"/>
    <col min="6" max="8" width="21.7109375" style="289" customWidth="1"/>
    <col min="9" max="9" width="31.5703125" style="289" customWidth="1"/>
    <col min="10" max="10" width="27.7109375" style="290" hidden="1" customWidth="1"/>
    <col min="11" max="11" width="32.85546875" style="290" customWidth="1"/>
    <col min="12" max="12" width="38" style="290" customWidth="1"/>
    <col min="13" max="13" width="18.140625" style="289" customWidth="1"/>
    <col min="14" max="14" width="14.5703125" style="286"/>
    <col min="15" max="18" width="9.140625" style="286"/>
    <col min="19" max="19" width="14.5703125" style="286"/>
    <col min="20" max="1022" width="9.140625" style="286"/>
    <col min="1023" max="16384" width="9.140625" style="291"/>
  </cols>
  <sheetData>
    <row r="1" spans="1:19" s="284" customFormat="1" ht="18.75">
      <c r="B1" s="292"/>
      <c r="C1" s="292"/>
      <c r="D1" s="461" t="s">
        <v>13</v>
      </c>
      <c r="E1" s="461"/>
      <c r="F1" s="461"/>
      <c r="G1" s="461"/>
      <c r="H1" s="461"/>
      <c r="I1" s="461"/>
      <c r="J1" s="461"/>
      <c r="K1" s="461"/>
      <c r="L1" s="461"/>
      <c r="M1" s="461"/>
    </row>
    <row r="2" spans="1:19" s="284" customFormat="1" ht="18.75">
      <c r="B2" s="292"/>
      <c r="C2" s="292"/>
      <c r="D2" s="461" t="s">
        <v>14</v>
      </c>
      <c r="E2" s="461"/>
      <c r="F2" s="461"/>
      <c r="G2" s="461"/>
      <c r="H2" s="461"/>
      <c r="I2" s="461"/>
      <c r="J2" s="461"/>
      <c r="K2" s="461"/>
      <c r="L2" s="461"/>
      <c r="M2" s="461"/>
    </row>
    <row r="3" spans="1:19" s="284" customFormat="1" ht="18.75">
      <c r="B3" s="292"/>
      <c r="C3" s="292"/>
      <c r="D3" s="461" t="s">
        <v>15</v>
      </c>
      <c r="E3" s="461"/>
      <c r="F3" s="461"/>
      <c r="G3" s="461"/>
      <c r="H3" s="461"/>
      <c r="I3" s="461"/>
      <c r="J3" s="461"/>
      <c r="K3" s="461"/>
      <c r="L3" s="461"/>
      <c r="M3" s="461"/>
    </row>
    <row r="4" spans="1:19" s="284" customFormat="1" ht="14.25">
      <c r="B4" s="292"/>
      <c r="C4" s="292"/>
      <c r="D4" s="293"/>
      <c r="E4" s="293"/>
      <c r="F4" s="293"/>
      <c r="G4" s="293"/>
      <c r="H4" s="293"/>
      <c r="I4" s="293"/>
      <c r="J4" s="293"/>
      <c r="K4" s="293"/>
      <c r="L4" s="293"/>
      <c r="M4" s="293"/>
    </row>
    <row r="5" spans="1:19" s="284" customFormat="1" ht="14.25">
      <c r="B5" s="740" t="s">
        <v>535</v>
      </c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80"/>
    </row>
    <row r="6" spans="1:19" s="284" customFormat="1" ht="14.25">
      <c r="B6" s="481"/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3"/>
    </row>
    <row r="7" spans="1:19" s="284" customFormat="1" ht="14.25">
      <c r="B7" s="484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6"/>
    </row>
    <row r="8" spans="1:19" s="284" customFormat="1" ht="14.25"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</row>
    <row r="9" spans="1:19" s="284" customFormat="1" ht="40.5" customHeight="1">
      <c r="B9" s="462" t="s">
        <v>16</v>
      </c>
      <c r="C9" s="463"/>
      <c r="D9" s="464" t="s">
        <v>519</v>
      </c>
      <c r="E9" s="465"/>
      <c r="F9" s="465"/>
      <c r="G9" s="465"/>
      <c r="H9" s="465"/>
      <c r="I9" s="465"/>
      <c r="J9" s="465"/>
      <c r="K9" s="466"/>
      <c r="L9" s="466"/>
      <c r="M9" s="467"/>
    </row>
    <row r="10" spans="1:19" s="284" customFormat="1" ht="14.25">
      <c r="B10" s="292"/>
      <c r="C10" s="292"/>
      <c r="E10" s="292"/>
      <c r="F10" s="292"/>
      <c r="G10" s="292"/>
      <c r="H10" s="292"/>
      <c r="I10" s="292"/>
      <c r="J10" s="294"/>
      <c r="K10" s="294"/>
      <c r="L10" s="294"/>
      <c r="M10" s="292"/>
    </row>
    <row r="11" spans="1:19" s="284" customFormat="1" ht="18.75">
      <c r="B11" s="487"/>
      <c r="C11" s="488"/>
      <c r="D11" s="488"/>
      <c r="E11" s="488"/>
      <c r="F11" s="488"/>
      <c r="G11" s="335"/>
      <c r="H11" s="335"/>
      <c r="I11" s="335"/>
      <c r="J11" s="295"/>
      <c r="K11" s="295"/>
      <c r="L11" s="338" t="s">
        <v>17</v>
      </c>
      <c r="M11" s="316"/>
    </row>
    <row r="12" spans="1:19" s="284" customFormat="1" ht="14.25">
      <c r="B12" s="292"/>
      <c r="C12" s="292"/>
      <c r="D12" s="296"/>
      <c r="E12" s="296"/>
      <c r="F12" s="296"/>
      <c r="G12" s="296"/>
      <c r="H12" s="296"/>
      <c r="I12" s="296"/>
      <c r="J12" s="296"/>
      <c r="K12" s="296"/>
      <c r="L12" s="296"/>
    </row>
    <row r="13" spans="1:19" s="284" customFormat="1" ht="14.25">
      <c r="B13" s="292"/>
      <c r="C13" s="292"/>
      <c r="E13" s="292"/>
      <c r="F13" s="292"/>
      <c r="G13" s="292"/>
      <c r="H13" s="292"/>
      <c r="I13" s="292"/>
      <c r="J13" s="294"/>
      <c r="K13" s="294"/>
      <c r="L13" s="294"/>
      <c r="M13" s="292"/>
    </row>
    <row r="14" spans="1:19" s="285" customFormat="1" ht="28.5">
      <c r="A14" s="476" t="s">
        <v>512</v>
      </c>
      <c r="B14" s="297" t="s">
        <v>18</v>
      </c>
      <c r="C14" s="489" t="s">
        <v>19</v>
      </c>
      <c r="D14" s="490"/>
      <c r="E14" s="273" t="s">
        <v>20</v>
      </c>
      <c r="F14" s="273" t="s">
        <v>21</v>
      </c>
      <c r="G14" s="273" t="s">
        <v>22</v>
      </c>
      <c r="H14" s="273" t="s">
        <v>23</v>
      </c>
      <c r="I14" s="273" t="s">
        <v>24</v>
      </c>
      <c r="J14" s="273" t="s">
        <v>25</v>
      </c>
      <c r="K14" s="273" t="s">
        <v>26</v>
      </c>
      <c r="L14" s="273" t="s">
        <v>27</v>
      </c>
      <c r="M14" s="273" t="s">
        <v>28</v>
      </c>
    </row>
    <row r="15" spans="1:19" s="284" customFormat="1" ht="28.5" customHeight="1">
      <c r="A15" s="477"/>
      <c r="B15" s="298">
        <v>1</v>
      </c>
      <c r="C15" s="491" t="s">
        <v>29</v>
      </c>
      <c r="D15" s="492"/>
      <c r="E15" s="299"/>
      <c r="F15" s="299"/>
      <c r="G15" s="299"/>
      <c r="H15" s="299"/>
      <c r="I15" s="299"/>
      <c r="J15" s="300"/>
      <c r="K15" s="300"/>
      <c r="L15" s="300"/>
      <c r="M15" s="299"/>
    </row>
    <row r="16" spans="1:19" s="284" customFormat="1" ht="52.5" customHeight="1">
      <c r="A16" s="477"/>
      <c r="B16" s="301" t="s">
        <v>30</v>
      </c>
      <c r="C16" s="276" t="str">
        <f>'COMPOSIÇÕES SINAPI'!A11</f>
        <v>CPU-01</v>
      </c>
      <c r="D16" s="277" t="str">
        <f>'COMPOSIÇÕES SINAPI'!D11</f>
        <v>ADMINISTRAÇÃO LOCAL</v>
      </c>
      <c r="E16" s="276" t="str">
        <f>'COMPOSIÇÕES SINAPI'!E11</f>
        <v>%</v>
      </c>
      <c r="F16" s="336">
        <f>H16/G16</f>
        <v>7.6923076923076927E-2</v>
      </c>
      <c r="G16" s="280">
        <v>13</v>
      </c>
      <c r="H16" s="337">
        <v>1</v>
      </c>
      <c r="I16" s="302"/>
      <c r="J16" s="303">
        <f>ROUND(G16*H16*I16,2)</f>
        <v>0</v>
      </c>
      <c r="K16" s="343">
        <f t="shared" ref="K16:K21" si="0">ROUND((1+$M$11)*I16,4)</f>
        <v>0</v>
      </c>
      <c r="L16" s="303">
        <f>ROUND(G16*H16*K16,2)</f>
        <v>0</v>
      </c>
      <c r="M16" s="339"/>
      <c r="N16" s="340">
        <f t="shared" ref="N16:N21" si="1">M16</f>
        <v>0</v>
      </c>
      <c r="O16" s="284" t="s">
        <v>31</v>
      </c>
      <c r="R16" s="284" t="s">
        <v>32</v>
      </c>
      <c r="S16" s="340">
        <f>SUMIF($O$16:$O$35,R16,$N$16:$N$35)</f>
        <v>0</v>
      </c>
    </row>
    <row r="17" spans="1:19" s="334" customFormat="1" ht="35.25" customHeight="1">
      <c r="A17" s="477"/>
      <c r="B17" s="301" t="s">
        <v>33</v>
      </c>
      <c r="C17" s="276" t="str">
        <f>'COMPOSIÇÕES SINAPI'!A16</f>
        <v>CPU-02</v>
      </c>
      <c r="D17" s="277" t="str">
        <f>'COMPOSIÇÕES SINAPI'!D16</f>
        <v>PLACA DE OBRA EM CHAPA DE AÇO GALVANIZADO (1,60 M * 3,20 M)</v>
      </c>
      <c r="E17" s="276" t="str">
        <f>'COMPOSIÇÕES SINAPI'!E16</f>
        <v>M²</v>
      </c>
      <c r="F17" s="280">
        <f>'MÓDULO MÍNIMO'!F17</f>
        <v>5.120000000000001</v>
      </c>
      <c r="G17" s="280">
        <f>$G$16</f>
        <v>13</v>
      </c>
      <c r="H17" s="280">
        <f>F17*G17</f>
        <v>66.560000000000016</v>
      </c>
      <c r="I17" s="302"/>
      <c r="J17" s="303">
        <f>ROUND(H17*I17,2)</f>
        <v>0</v>
      </c>
      <c r="K17" s="343">
        <f t="shared" si="0"/>
        <v>0</v>
      </c>
      <c r="L17" s="303">
        <f>ROUND(H17*K17,2)</f>
        <v>0</v>
      </c>
      <c r="M17" s="339"/>
      <c r="N17" s="340">
        <f t="shared" si="1"/>
        <v>0</v>
      </c>
      <c r="O17" s="334" t="s">
        <v>31</v>
      </c>
      <c r="R17" s="334" t="s">
        <v>31</v>
      </c>
      <c r="S17" s="340">
        <f>SUMIF($O$16:$O$35,R17,$N$16:$N$35)</f>
        <v>0</v>
      </c>
    </row>
    <row r="18" spans="1:19" s="334" customFormat="1" ht="28.5">
      <c r="A18" s="477"/>
      <c r="B18" s="301" t="s">
        <v>34</v>
      </c>
      <c r="C18" s="276" t="str">
        <f>'COMPOSIÇÕES SICRO'!A163</f>
        <v>SICRO 5914639</v>
      </c>
      <c r="D18" s="277" t="s">
        <v>35</v>
      </c>
      <c r="E18" s="276" t="str">
        <f>'COMPOSIÇÕES SICRO'!I162</f>
        <v>tkm</v>
      </c>
      <c r="F18" s="280">
        <f>'MÓDULO MÍNIMO'!F18</f>
        <v>6859.3</v>
      </c>
      <c r="G18" s="280">
        <f>$G$16</f>
        <v>13</v>
      </c>
      <c r="H18" s="280">
        <f t="shared" ref="H18:H21" si="2">F18*G18</f>
        <v>89170.900000000009</v>
      </c>
      <c r="I18" s="302"/>
      <c r="J18" s="303">
        <f t="shared" ref="J18:J21" si="3">ROUND(H18*I18,2)</f>
        <v>0</v>
      </c>
      <c r="K18" s="343">
        <f t="shared" si="0"/>
        <v>0</v>
      </c>
      <c r="L18" s="303">
        <f>ROUND(H18*K18,2)</f>
        <v>0</v>
      </c>
      <c r="M18" s="339"/>
      <c r="N18" s="340">
        <f t="shared" si="1"/>
        <v>0</v>
      </c>
      <c r="O18" s="334" t="s">
        <v>31</v>
      </c>
      <c r="S18" s="355">
        <f>SUM(S16:S17)</f>
        <v>0</v>
      </c>
    </row>
    <row r="19" spans="1:19" s="334" customFormat="1" ht="28.5">
      <c r="A19" s="477"/>
      <c r="B19" s="301" t="s">
        <v>36</v>
      </c>
      <c r="C19" s="276" t="str">
        <f>'COMPOSIÇÕES SICRO'!A189</f>
        <v>SICRO 5914640</v>
      </c>
      <c r="D19" s="277" t="s">
        <v>37</v>
      </c>
      <c r="E19" s="276" t="str">
        <f>'COMPOSIÇÕES SICRO'!I188</f>
        <v>tkm</v>
      </c>
      <c r="F19" s="280">
        <f>'MÓDULO MÍNIMO'!F19</f>
        <v>2939.7</v>
      </c>
      <c r="G19" s="280">
        <f>$G$16</f>
        <v>13</v>
      </c>
      <c r="H19" s="280">
        <f t="shared" si="2"/>
        <v>38216.1</v>
      </c>
      <c r="I19" s="302"/>
      <c r="J19" s="303">
        <f t="shared" si="3"/>
        <v>0</v>
      </c>
      <c r="K19" s="343">
        <f t="shared" si="0"/>
        <v>0</v>
      </c>
      <c r="L19" s="303">
        <f>ROUND(H19*K19,2)</f>
        <v>0</v>
      </c>
      <c r="M19" s="339"/>
      <c r="N19" s="340">
        <f t="shared" si="1"/>
        <v>0</v>
      </c>
      <c r="O19" s="334" t="s">
        <v>31</v>
      </c>
    </row>
    <row r="20" spans="1:19" s="334" customFormat="1" ht="28.5">
      <c r="A20" s="477"/>
      <c r="B20" s="301" t="s">
        <v>38</v>
      </c>
      <c r="C20" s="276" t="str">
        <f>'COMPOSIÇÕES SICRO'!A163</f>
        <v>SICRO 5914639</v>
      </c>
      <c r="D20" s="277" t="s">
        <v>39</v>
      </c>
      <c r="E20" s="276" t="str">
        <f>'COMPOSIÇÕES SICRO'!I162</f>
        <v>tkm</v>
      </c>
      <c r="F20" s="280">
        <f>'MÓDULO MÍNIMO'!F20</f>
        <v>6859.3</v>
      </c>
      <c r="G20" s="280">
        <f>$G$16</f>
        <v>13</v>
      </c>
      <c r="H20" s="280">
        <f t="shared" si="2"/>
        <v>89170.900000000009</v>
      </c>
      <c r="I20" s="302"/>
      <c r="J20" s="303">
        <f t="shared" si="3"/>
        <v>0</v>
      </c>
      <c r="K20" s="343">
        <f t="shared" si="0"/>
        <v>0</v>
      </c>
      <c r="L20" s="303">
        <f>ROUND(H20*K20,2)</f>
        <v>0</v>
      </c>
      <c r="M20" s="339"/>
      <c r="N20" s="340">
        <f t="shared" si="1"/>
        <v>0</v>
      </c>
      <c r="O20" s="334" t="s">
        <v>31</v>
      </c>
    </row>
    <row r="21" spans="1:19" s="334" customFormat="1" ht="28.5">
      <c r="A21" s="477"/>
      <c r="B21" s="301" t="s">
        <v>40</v>
      </c>
      <c r="C21" s="276" t="str">
        <f>'COMPOSIÇÕES SICRO'!A189</f>
        <v>SICRO 5914640</v>
      </c>
      <c r="D21" s="277" t="s">
        <v>41</v>
      </c>
      <c r="E21" s="276" t="str">
        <f>'COMPOSIÇÕES SICRO'!I188</f>
        <v>tkm</v>
      </c>
      <c r="F21" s="280">
        <f>'MÓDULO MÍNIMO'!F21</f>
        <v>2939.7</v>
      </c>
      <c r="G21" s="280">
        <f>$G$16</f>
        <v>13</v>
      </c>
      <c r="H21" s="280">
        <f t="shared" si="2"/>
        <v>38216.1</v>
      </c>
      <c r="I21" s="302"/>
      <c r="J21" s="303">
        <f t="shared" si="3"/>
        <v>0</v>
      </c>
      <c r="K21" s="343">
        <f t="shared" si="0"/>
        <v>0</v>
      </c>
      <c r="L21" s="303">
        <f>ROUND(H21*K21,2)</f>
        <v>0</v>
      </c>
      <c r="M21" s="339"/>
      <c r="N21" s="340">
        <f t="shared" si="1"/>
        <v>0</v>
      </c>
      <c r="O21" s="334" t="s">
        <v>31</v>
      </c>
    </row>
    <row r="22" spans="1:19" s="285" customFormat="1" ht="14.25">
      <c r="A22" s="477"/>
      <c r="B22" s="470" t="s">
        <v>42</v>
      </c>
      <c r="C22" s="471"/>
      <c r="D22" s="471"/>
      <c r="E22" s="471"/>
      <c r="F22" s="471"/>
      <c r="G22" s="472"/>
      <c r="H22" s="472"/>
      <c r="I22" s="473"/>
      <c r="J22" s="304">
        <f>ROUND(J16+J17+J18+J19+J20+J21,2)</f>
        <v>0</v>
      </c>
      <c r="K22" s="304"/>
      <c r="L22" s="341">
        <f>ROUND(SUM(L16:L21),4)</f>
        <v>0</v>
      </c>
      <c r="M22" s="342"/>
    </row>
    <row r="23" spans="1:19" s="286" customFormat="1" ht="14.25">
      <c r="A23" s="477"/>
      <c r="B23" s="268"/>
      <c r="C23" s="268"/>
      <c r="D23" s="305"/>
      <c r="E23" s="268"/>
      <c r="F23" s="306"/>
      <c r="G23" s="306"/>
      <c r="H23" s="306"/>
      <c r="I23" s="268"/>
      <c r="J23" s="307"/>
      <c r="K23" s="307"/>
      <c r="L23" s="307"/>
      <c r="M23" s="321"/>
    </row>
    <row r="24" spans="1:19" s="285" customFormat="1" ht="28.5">
      <c r="A24" s="477"/>
      <c r="B24" s="297" t="s">
        <v>18</v>
      </c>
      <c r="C24" s="489" t="s">
        <v>19</v>
      </c>
      <c r="D24" s="490"/>
      <c r="E24" s="273" t="s">
        <v>20</v>
      </c>
      <c r="F24" s="273" t="s">
        <v>21</v>
      </c>
      <c r="G24" s="273" t="s">
        <v>22</v>
      </c>
      <c r="H24" s="273" t="s">
        <v>23</v>
      </c>
      <c r="I24" s="273" t="s">
        <v>24</v>
      </c>
      <c r="J24" s="273" t="s">
        <v>25</v>
      </c>
      <c r="K24" s="273" t="s">
        <v>26</v>
      </c>
      <c r="L24" s="273" t="s">
        <v>27</v>
      </c>
      <c r="M24" s="273" t="s">
        <v>28</v>
      </c>
    </row>
    <row r="25" spans="1:19" s="284" customFormat="1" ht="29.25" customHeight="1">
      <c r="A25" s="477"/>
      <c r="B25" s="298">
        <v>2</v>
      </c>
      <c r="C25" s="468" t="s">
        <v>43</v>
      </c>
      <c r="D25" s="469"/>
      <c r="E25" s="308"/>
      <c r="F25" s="299"/>
      <c r="G25" s="299"/>
      <c r="H25" s="299"/>
      <c r="I25" s="299"/>
      <c r="J25" s="300"/>
      <c r="K25" s="300"/>
      <c r="L25" s="300"/>
      <c r="M25" s="299"/>
    </row>
    <row r="26" spans="1:19" s="334" customFormat="1" ht="64.5" customHeight="1">
      <c r="A26" s="477"/>
      <c r="B26" s="301" t="s">
        <v>44</v>
      </c>
      <c r="C26" s="276" t="str">
        <f>'COMPOSIÇÕES SICRO'!A110</f>
        <v>SICRO 5501706</v>
      </c>
      <c r="D26" s="277" t="s">
        <v>45</v>
      </c>
      <c r="E26" s="276" t="str">
        <f>'COMPOSIÇÕES SICRO'!I109</f>
        <v>m³</v>
      </c>
      <c r="F26" s="280">
        <f>'MÓDULO MÍNIMO'!F26</f>
        <v>3555</v>
      </c>
      <c r="G26" s="280">
        <f t="shared" ref="G26:G35" si="4">$G$16</f>
        <v>13</v>
      </c>
      <c r="H26" s="280">
        <f t="shared" ref="H26:H32" si="5">F26*G26</f>
        <v>46215</v>
      </c>
      <c r="I26" s="302"/>
      <c r="J26" s="303">
        <f t="shared" ref="J26:J35" si="6">ROUND(H26*I26,2)</f>
        <v>0</v>
      </c>
      <c r="K26" s="343">
        <f t="shared" ref="K26:K35" si="7">ROUND((1+$M$11)*I26,4)</f>
        <v>0</v>
      </c>
      <c r="L26" s="303">
        <f t="shared" ref="L26:L35" si="8">ROUND(H26*K26,2)</f>
        <v>0</v>
      </c>
      <c r="M26" s="339"/>
      <c r="N26" s="340">
        <f>M26</f>
        <v>0</v>
      </c>
      <c r="O26" s="334" t="s">
        <v>32</v>
      </c>
    </row>
    <row r="27" spans="1:19" s="334" customFormat="1" ht="39.75" customHeight="1">
      <c r="A27" s="477"/>
      <c r="B27" s="301" t="s">
        <v>46</v>
      </c>
      <c r="C27" s="276" t="str">
        <f>'COMPOSIÇÕES SICRO'!A10</f>
        <v>SICRO 3713608</v>
      </c>
      <c r="D27" s="277" t="s">
        <v>47</v>
      </c>
      <c r="E27" s="276" t="str">
        <f>'COMPOSIÇÕES SICRO'!I9</f>
        <v>m</v>
      </c>
      <c r="F27" s="280">
        <f>'MÓDULO MÍNIMO'!F27</f>
        <v>500</v>
      </c>
      <c r="G27" s="280">
        <f t="shared" si="4"/>
        <v>13</v>
      </c>
      <c r="H27" s="280">
        <f t="shared" si="5"/>
        <v>6500</v>
      </c>
      <c r="I27" s="302"/>
      <c r="J27" s="303">
        <f t="shared" si="6"/>
        <v>0</v>
      </c>
      <c r="K27" s="343">
        <f t="shared" si="7"/>
        <v>0</v>
      </c>
      <c r="L27" s="303">
        <f t="shared" si="8"/>
        <v>0</v>
      </c>
      <c r="M27" s="339"/>
      <c r="N27" s="340">
        <f t="shared" ref="N27:N35" si="9">M27</f>
        <v>0</v>
      </c>
      <c r="O27" s="334" t="s">
        <v>31</v>
      </c>
    </row>
    <row r="28" spans="1:19" s="334" customFormat="1" ht="40.5" customHeight="1">
      <c r="A28" s="477"/>
      <c r="B28" s="301" t="s">
        <v>48</v>
      </c>
      <c r="C28" s="276" t="str">
        <f>'COMPOSIÇÕES SICRO'!A215</f>
        <v>SICRO 4011209</v>
      </c>
      <c r="D28" s="277" t="s">
        <v>49</v>
      </c>
      <c r="E28" s="276" t="str">
        <f>'COMPOSIÇÕES SICRO'!I214</f>
        <v>m²</v>
      </c>
      <c r="F28" s="280">
        <f>'MÓDULO MÍNIMO'!F28</f>
        <v>30000</v>
      </c>
      <c r="G28" s="280">
        <f t="shared" si="4"/>
        <v>13</v>
      </c>
      <c r="H28" s="280">
        <f t="shared" si="5"/>
        <v>390000</v>
      </c>
      <c r="I28" s="302"/>
      <c r="J28" s="303">
        <f t="shared" si="6"/>
        <v>0</v>
      </c>
      <c r="K28" s="343">
        <f t="shared" si="7"/>
        <v>0</v>
      </c>
      <c r="L28" s="303">
        <f t="shared" si="8"/>
        <v>0</v>
      </c>
      <c r="M28" s="339"/>
      <c r="N28" s="340">
        <f t="shared" si="9"/>
        <v>0</v>
      </c>
      <c r="O28" s="334" t="s">
        <v>32</v>
      </c>
    </row>
    <row r="29" spans="1:19" s="334" customFormat="1" ht="40.5" customHeight="1">
      <c r="A29" s="477"/>
      <c r="B29" s="301" t="s">
        <v>50</v>
      </c>
      <c r="C29" s="276" t="str">
        <f>'COMPOSIÇÕES SICRO'!A48</f>
        <v>SICRO 4015612</v>
      </c>
      <c r="D29" s="277" t="s">
        <v>51</v>
      </c>
      <c r="E29" s="276" t="str">
        <f>'COMPOSIÇÕES SICRO'!I47</f>
        <v>m³</v>
      </c>
      <c r="F29" s="280">
        <f>'MÓDULO MÍNIMO'!F29</f>
        <v>4500</v>
      </c>
      <c r="G29" s="280">
        <f t="shared" si="4"/>
        <v>13</v>
      </c>
      <c r="H29" s="280">
        <f t="shared" si="5"/>
        <v>58500</v>
      </c>
      <c r="I29" s="302"/>
      <c r="J29" s="303">
        <f t="shared" si="6"/>
        <v>0</v>
      </c>
      <c r="K29" s="343">
        <f t="shared" si="7"/>
        <v>0</v>
      </c>
      <c r="L29" s="303">
        <f t="shared" si="8"/>
        <v>0</v>
      </c>
      <c r="M29" s="339"/>
      <c r="N29" s="340">
        <f t="shared" si="9"/>
        <v>0</v>
      </c>
      <c r="O29" s="334" t="s">
        <v>32</v>
      </c>
    </row>
    <row r="30" spans="1:19" s="334" customFormat="1" ht="43.5" customHeight="1">
      <c r="A30" s="477"/>
      <c r="B30" s="301" t="s">
        <v>52</v>
      </c>
      <c r="C30" s="276" t="str">
        <f>'COMPOSIÇÕES SICRO'!A83</f>
        <v>SICRO 4016096</v>
      </c>
      <c r="D30" s="277" t="s">
        <v>53</v>
      </c>
      <c r="E30" s="276" t="str">
        <f>'COMPOSIÇÕES SICRO'!I82</f>
        <v>m³</v>
      </c>
      <c r="F30" s="280">
        <f>'MÓDULO MÍNIMO'!F30</f>
        <v>4500</v>
      </c>
      <c r="G30" s="280">
        <f t="shared" si="4"/>
        <v>13</v>
      </c>
      <c r="H30" s="280">
        <f t="shared" si="5"/>
        <v>58500</v>
      </c>
      <c r="I30" s="302"/>
      <c r="J30" s="303">
        <f t="shared" si="6"/>
        <v>0</v>
      </c>
      <c r="K30" s="343">
        <f t="shared" si="7"/>
        <v>0</v>
      </c>
      <c r="L30" s="303">
        <f t="shared" si="8"/>
        <v>0</v>
      </c>
      <c r="M30" s="339"/>
      <c r="N30" s="340">
        <f t="shared" si="9"/>
        <v>0</v>
      </c>
      <c r="O30" s="334" t="s">
        <v>32</v>
      </c>
    </row>
    <row r="31" spans="1:19" s="334" customFormat="1" ht="48.75" customHeight="1">
      <c r="A31" s="477"/>
      <c r="B31" s="301" t="s">
        <v>54</v>
      </c>
      <c r="C31" s="276" t="str">
        <f>'COMPOSIÇÕES SICRO'!A137</f>
        <v>SICRO 5901639</v>
      </c>
      <c r="D31" s="277" t="s">
        <v>55</v>
      </c>
      <c r="E31" s="276" t="str">
        <f>'COMPOSIÇÕES SICRO'!I136</f>
        <v>tkm</v>
      </c>
      <c r="F31" s="280">
        <f>'MÓDULO MÍNIMO'!F31</f>
        <v>157819.50000000003</v>
      </c>
      <c r="G31" s="280">
        <f t="shared" si="4"/>
        <v>13</v>
      </c>
      <c r="H31" s="280">
        <f t="shared" si="5"/>
        <v>2051653.5000000005</v>
      </c>
      <c r="I31" s="302"/>
      <c r="J31" s="303">
        <f t="shared" si="6"/>
        <v>0</v>
      </c>
      <c r="K31" s="343">
        <f t="shared" si="7"/>
        <v>0</v>
      </c>
      <c r="L31" s="303">
        <f t="shared" si="8"/>
        <v>0</v>
      </c>
      <c r="M31" s="339"/>
      <c r="N31" s="340">
        <f t="shared" si="9"/>
        <v>0</v>
      </c>
      <c r="O31" s="334" t="s">
        <v>32</v>
      </c>
    </row>
    <row r="32" spans="1:19" s="334" customFormat="1" ht="48.75" customHeight="1">
      <c r="A32" s="477"/>
      <c r="B32" s="301" t="s">
        <v>56</v>
      </c>
      <c r="C32" s="276" t="str">
        <f>'MEMÓRIA DE CÁLCULOS'!B26</f>
        <v>CPU-03</v>
      </c>
      <c r="D32" s="309" t="str">
        <f>'MEMÓRIA DE CÁLCULOS'!C26</f>
        <v>PROJETO EXECUTIVO</v>
      </c>
      <c r="E32" s="276" t="str">
        <f>'MEMÓRIA DE CÁLCULOS'!D26</f>
        <v>m²</v>
      </c>
      <c r="F32" s="276">
        <f>'MEMÓRIA DE CÁLCULOS'!E26</f>
        <v>30000</v>
      </c>
      <c r="G32" s="280">
        <f t="shared" si="4"/>
        <v>13</v>
      </c>
      <c r="H32" s="280">
        <f t="shared" si="5"/>
        <v>390000</v>
      </c>
      <c r="I32" s="302"/>
      <c r="J32" s="303">
        <f t="shared" si="6"/>
        <v>0</v>
      </c>
      <c r="K32" s="343"/>
      <c r="L32" s="303">
        <f t="shared" si="8"/>
        <v>0</v>
      </c>
      <c r="M32" s="339"/>
      <c r="N32" s="340">
        <f t="shared" si="9"/>
        <v>0</v>
      </c>
      <c r="O32" s="334" t="s">
        <v>31</v>
      </c>
    </row>
    <row r="33" spans="1:15" s="334" customFormat="1" ht="48.75" customHeight="1">
      <c r="A33" s="477"/>
      <c r="B33" s="301" t="s">
        <v>57</v>
      </c>
      <c r="C33" s="276" t="str">
        <f>'COMPOSIÇÕES ENSAIOS'!H4</f>
        <v>CPU - 04</v>
      </c>
      <c r="D33" s="277" t="s">
        <v>58</v>
      </c>
      <c r="E33" s="276" t="str">
        <f>'COMPOSIÇÕES ENSAIOS'!E5</f>
        <v>und</v>
      </c>
      <c r="F33" s="280">
        <f>'MÓDULO MÍNIMO'!F33</f>
        <v>2</v>
      </c>
      <c r="G33" s="280">
        <f t="shared" si="4"/>
        <v>13</v>
      </c>
      <c r="H33" s="280">
        <f t="shared" ref="H33:H35" si="10">F33*G33</f>
        <v>26</v>
      </c>
      <c r="I33" s="302"/>
      <c r="J33" s="303">
        <f t="shared" ref="J33" si="11">ROUND(H33*I33,2)</f>
        <v>0</v>
      </c>
      <c r="K33" s="343">
        <f t="shared" si="7"/>
        <v>0</v>
      </c>
      <c r="L33" s="303">
        <f t="shared" si="8"/>
        <v>0</v>
      </c>
      <c r="M33" s="339"/>
      <c r="N33" s="340">
        <f t="shared" si="9"/>
        <v>0</v>
      </c>
      <c r="O33" s="334" t="s">
        <v>32</v>
      </c>
    </row>
    <row r="34" spans="1:15" s="334" customFormat="1" ht="48.75" customHeight="1">
      <c r="A34" s="477"/>
      <c r="B34" s="301" t="s">
        <v>59</v>
      </c>
      <c r="C34" s="276" t="str">
        <f>'MÓDULO MÍNIMO'!C34</f>
        <v>SICRO 5213440</v>
      </c>
      <c r="D34" s="277" t="str">
        <f>'MÓDULO MÍNIMO'!D34</f>
        <v>PLACA DE REGULAMENTAÇÃO EM AÇO D = 0,60 M - PELÍCULA RETROREFLETIVA TIPO I + SI - FORNECIMENTO E IMPLANTAÇÃO</v>
      </c>
      <c r="E34" s="283" t="str">
        <f>'MÓDULO MÍNIMO'!E34</f>
        <v>und</v>
      </c>
      <c r="F34" s="280">
        <f>'MÓDULO MÍNIMO'!F34</f>
        <v>14</v>
      </c>
      <c r="G34" s="280">
        <f t="shared" si="4"/>
        <v>13</v>
      </c>
      <c r="H34" s="280">
        <f t="shared" si="10"/>
        <v>182</v>
      </c>
      <c r="I34" s="302"/>
      <c r="J34" s="303">
        <f t="shared" si="6"/>
        <v>0</v>
      </c>
      <c r="K34" s="343">
        <f t="shared" si="7"/>
        <v>0</v>
      </c>
      <c r="L34" s="303">
        <f t="shared" si="8"/>
        <v>0</v>
      </c>
      <c r="M34" s="339"/>
      <c r="N34" s="340">
        <f t="shared" si="9"/>
        <v>0</v>
      </c>
      <c r="O34" s="334" t="s">
        <v>31</v>
      </c>
    </row>
    <row r="35" spans="1:15" s="334" customFormat="1" ht="48.75" customHeight="1">
      <c r="A35" s="477"/>
      <c r="B35" s="301" t="s">
        <v>60</v>
      </c>
      <c r="C35" s="276" t="str">
        <f>'MÓDULO MÍNIMO'!C35</f>
        <v>SICRO 5213863</v>
      </c>
      <c r="D35" s="277" t="str">
        <f>'MÓDULO MÍNIMO'!D35</f>
        <v>SUPORTE METÁLICO GALVANIZADO PARA PLACA DE ADVERTÊNCIA OU REGULAMENTAÇÃO - LADO OU DIÂMETRO DE 0,60 M - FORNECIMENTO E IMPLANTAÇÃO</v>
      </c>
      <c r="E35" s="283" t="str">
        <f>'MÓDULO MÍNIMO'!E35</f>
        <v>und</v>
      </c>
      <c r="F35" s="280">
        <f>'MÓDULO MÍNIMO'!F35</f>
        <v>14</v>
      </c>
      <c r="G35" s="280">
        <f t="shared" si="4"/>
        <v>13</v>
      </c>
      <c r="H35" s="280">
        <f t="shared" si="10"/>
        <v>182</v>
      </c>
      <c r="I35" s="302"/>
      <c r="J35" s="303">
        <f t="shared" si="6"/>
        <v>0</v>
      </c>
      <c r="K35" s="343">
        <f t="shared" si="7"/>
        <v>0</v>
      </c>
      <c r="L35" s="303">
        <f t="shared" si="8"/>
        <v>0</v>
      </c>
      <c r="M35" s="339"/>
      <c r="N35" s="340">
        <f t="shared" si="9"/>
        <v>0</v>
      </c>
      <c r="O35" s="334" t="s">
        <v>31</v>
      </c>
    </row>
    <row r="36" spans="1:15" s="284" customFormat="1" ht="14.25">
      <c r="A36" s="477"/>
      <c r="B36" s="470" t="s">
        <v>61</v>
      </c>
      <c r="C36" s="471"/>
      <c r="D36" s="471"/>
      <c r="E36" s="471"/>
      <c r="F36" s="471"/>
      <c r="G36" s="472"/>
      <c r="H36" s="472"/>
      <c r="I36" s="473"/>
      <c r="J36" s="310">
        <f>ROUND(J26+J27+J28+J29+J30+J31,2)</f>
        <v>0</v>
      </c>
      <c r="K36" s="310"/>
      <c r="L36" s="344"/>
      <c r="M36" s="345"/>
    </row>
    <row r="37" spans="1:15" s="284" customFormat="1" ht="14.25">
      <c r="A37" s="477"/>
      <c r="B37" s="271"/>
      <c r="C37" s="271"/>
      <c r="D37" s="264"/>
      <c r="E37" s="271"/>
      <c r="F37" s="271"/>
      <c r="G37" s="271"/>
      <c r="H37" s="271"/>
      <c r="I37" s="271"/>
      <c r="J37" s="311"/>
      <c r="K37" s="311"/>
      <c r="L37" s="311"/>
      <c r="M37" s="324"/>
    </row>
    <row r="38" spans="1:15" s="287" customFormat="1" ht="20.25">
      <c r="A38" s="478"/>
      <c r="B38" s="474" t="s">
        <v>62</v>
      </c>
      <c r="C38" s="474"/>
      <c r="D38" s="474"/>
      <c r="E38" s="474"/>
      <c r="F38" s="474"/>
      <c r="G38" s="474"/>
      <c r="H38" s="474"/>
      <c r="I38" s="475"/>
      <c r="J38" s="346">
        <f>ROUND(J22+J36,2)</f>
        <v>0</v>
      </c>
      <c r="K38" s="347"/>
      <c r="L38" s="348"/>
      <c r="M38" s="349"/>
    </row>
    <row r="39" spans="1:15">
      <c r="L39" s="350"/>
    </row>
    <row r="40" spans="1:15">
      <c r="L40" s="351"/>
    </row>
    <row r="41" spans="1:15">
      <c r="L41" s="350"/>
    </row>
    <row r="42" spans="1:15">
      <c r="K42" s="352"/>
      <c r="L42" s="353"/>
    </row>
    <row r="44" spans="1:15">
      <c r="L44" s="353"/>
    </row>
    <row r="45" spans="1:15">
      <c r="L45" s="350"/>
    </row>
    <row r="47" spans="1:15">
      <c r="L47" s="354"/>
    </row>
  </sheetData>
  <mergeCells count="15">
    <mergeCell ref="C25:D25"/>
    <mergeCell ref="B36:I36"/>
    <mergeCell ref="B38:I38"/>
    <mergeCell ref="A14:A38"/>
    <mergeCell ref="B5:M7"/>
    <mergeCell ref="B11:F11"/>
    <mergeCell ref="C14:D14"/>
    <mergeCell ref="C15:D15"/>
    <mergeCell ref="B22:I22"/>
    <mergeCell ref="C24:D24"/>
    <mergeCell ref="D1:M1"/>
    <mergeCell ref="D2:M2"/>
    <mergeCell ref="D3:M3"/>
    <mergeCell ref="B9:C9"/>
    <mergeCell ref="D9:M9"/>
  </mergeCells>
  <pageMargins left="0.78749999999999998" right="0.23611111111111099" top="0.55138888888888904" bottom="0.55138888888888904" header="0.51180555555555496" footer="0.51180555555555496"/>
  <pageSetup paperSize="9" scale="41" firstPageNumber="0" fitToHeight="0" orientation="landscape" useFirstPageNumber="1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  <pageSetUpPr fitToPage="1"/>
  </sheetPr>
  <dimension ref="A1:AMF47"/>
  <sheetViews>
    <sheetView view="pageBreakPreview" zoomScale="71" zoomScaleNormal="71" zoomScaleSheetLayoutView="71" workbookViewId="0">
      <selection activeCell="B11" sqref="B11:F11"/>
    </sheetView>
  </sheetViews>
  <sheetFormatPr defaultColWidth="9.140625" defaultRowHeight="15"/>
  <cols>
    <col min="1" max="1" width="9.140625" style="286"/>
    <col min="2" max="2" width="19.5703125" style="289" customWidth="1"/>
    <col min="3" max="3" width="23.85546875" style="289" customWidth="1"/>
    <col min="4" max="4" width="79.85546875" style="286" customWidth="1"/>
    <col min="5" max="5" width="11.28515625" style="289" customWidth="1"/>
    <col min="6" max="6" width="16" style="289" customWidth="1"/>
    <col min="7" max="7" width="31.28515625" style="289" customWidth="1"/>
    <col min="8" max="8" width="27.7109375" style="290" hidden="1" customWidth="1"/>
    <col min="9" max="9" width="33.28515625" style="290" customWidth="1"/>
    <col min="10" max="10" width="32.42578125" style="290" customWidth="1"/>
    <col min="11" max="11" width="18.140625" style="289" hidden="1" customWidth="1"/>
    <col min="12" max="1020" width="9.140625" style="286"/>
    <col min="1021" max="16384" width="9.140625" style="291"/>
  </cols>
  <sheetData>
    <row r="1" spans="1:11" s="284" customFormat="1" ht="14.25">
      <c r="B1" s="271"/>
      <c r="C1" s="271"/>
      <c r="D1" s="493" t="s">
        <v>13</v>
      </c>
      <c r="E1" s="493"/>
      <c r="F1" s="493"/>
      <c r="G1" s="493"/>
      <c r="H1" s="493"/>
      <c r="I1" s="493"/>
      <c r="J1" s="493"/>
      <c r="K1" s="493"/>
    </row>
    <row r="2" spans="1:11" s="284" customFormat="1" ht="14.25">
      <c r="B2" s="271"/>
      <c r="C2" s="271"/>
      <c r="D2" s="493" t="s">
        <v>14</v>
      </c>
      <c r="E2" s="493"/>
      <c r="F2" s="493"/>
      <c r="G2" s="493"/>
      <c r="H2" s="493"/>
      <c r="I2" s="493"/>
      <c r="J2" s="493"/>
      <c r="K2" s="493"/>
    </row>
    <row r="3" spans="1:11" s="284" customFormat="1" ht="14.25">
      <c r="B3" s="271"/>
      <c r="C3" s="271"/>
      <c r="D3" s="493" t="s">
        <v>15</v>
      </c>
      <c r="E3" s="493"/>
      <c r="F3" s="493"/>
      <c r="G3" s="493"/>
      <c r="H3" s="493"/>
      <c r="I3" s="493"/>
      <c r="J3" s="493"/>
      <c r="K3" s="493"/>
    </row>
    <row r="4" spans="1:11" s="284" customFormat="1" ht="14.25">
      <c r="B4" s="292"/>
      <c r="C4" s="292"/>
      <c r="D4" s="293"/>
      <c r="E4" s="293"/>
      <c r="F4" s="293"/>
      <c r="G4" s="293"/>
      <c r="H4" s="293"/>
      <c r="I4" s="293"/>
      <c r="J4" s="293"/>
      <c r="K4" s="293"/>
    </row>
    <row r="5" spans="1:11" s="284" customFormat="1" ht="14.25">
      <c r="B5" s="740" t="s">
        <v>525</v>
      </c>
      <c r="C5" s="479"/>
      <c r="D5" s="479"/>
      <c r="E5" s="479"/>
      <c r="F5" s="479"/>
      <c r="G5" s="479"/>
      <c r="H5" s="479"/>
      <c r="I5" s="479"/>
      <c r="J5" s="479"/>
      <c r="K5" s="480"/>
    </row>
    <row r="6" spans="1:11" s="284" customFormat="1" ht="14.25">
      <c r="B6" s="481"/>
      <c r="C6" s="482"/>
      <c r="D6" s="482"/>
      <c r="E6" s="482"/>
      <c r="F6" s="482"/>
      <c r="G6" s="482"/>
      <c r="H6" s="482"/>
      <c r="I6" s="482"/>
      <c r="J6" s="482"/>
      <c r="K6" s="483"/>
    </row>
    <row r="7" spans="1:11" s="284" customFormat="1" ht="14.25">
      <c r="B7" s="484"/>
      <c r="C7" s="485"/>
      <c r="D7" s="485"/>
      <c r="E7" s="485"/>
      <c r="F7" s="485"/>
      <c r="G7" s="485"/>
      <c r="H7" s="485"/>
      <c r="I7" s="485"/>
      <c r="J7" s="485"/>
      <c r="K7" s="486"/>
    </row>
    <row r="8" spans="1:11" s="284" customFormat="1" ht="14.25">
      <c r="B8" s="293"/>
      <c r="C8" s="293"/>
      <c r="D8" s="293"/>
      <c r="E8" s="293"/>
      <c r="F8" s="293"/>
      <c r="G8" s="293"/>
      <c r="H8" s="293"/>
      <c r="I8" s="293"/>
      <c r="J8" s="293"/>
      <c r="K8" s="293"/>
    </row>
    <row r="9" spans="1:11" s="284" customFormat="1" ht="40.5" customHeight="1">
      <c r="B9" s="462" t="s">
        <v>16</v>
      </c>
      <c r="C9" s="463"/>
      <c r="D9" s="464" t="s">
        <v>519</v>
      </c>
      <c r="E9" s="465"/>
      <c r="F9" s="465"/>
      <c r="G9" s="465"/>
      <c r="H9" s="465"/>
      <c r="I9" s="466"/>
      <c r="J9" s="466"/>
      <c r="K9" s="467"/>
    </row>
    <row r="10" spans="1:11" s="284" customFormat="1" ht="14.25">
      <c r="B10" s="292"/>
      <c r="C10" s="292"/>
      <c r="E10" s="292"/>
      <c r="F10" s="292"/>
      <c r="G10" s="292"/>
      <c r="H10" s="294"/>
      <c r="I10" s="294"/>
      <c r="J10" s="294"/>
      <c r="K10" s="292"/>
    </row>
    <row r="11" spans="1:11" s="284" customFormat="1" ht="18.75">
      <c r="B11" s="487" t="s">
        <v>522</v>
      </c>
      <c r="C11" s="488"/>
      <c r="D11" s="488"/>
      <c r="E11" s="488"/>
      <c r="F11" s="488"/>
      <c r="G11" s="295"/>
      <c r="H11" s="295"/>
      <c r="I11" s="315" t="s">
        <v>17</v>
      </c>
      <c r="J11" s="316">
        <f>ROUNDUP(BDI!D36,4)</f>
        <v>0.215</v>
      </c>
    </row>
    <row r="12" spans="1:11" s="284" customFormat="1" ht="14.25">
      <c r="B12" s="292"/>
      <c r="C12" s="292"/>
      <c r="D12" s="296"/>
      <c r="E12" s="296"/>
      <c r="F12" s="296"/>
      <c r="G12" s="296"/>
      <c r="H12" s="296"/>
      <c r="I12" s="296"/>
      <c r="J12" s="296"/>
    </row>
    <row r="13" spans="1:11" s="284" customFormat="1" ht="14.25">
      <c r="B13" s="292"/>
      <c r="C13" s="292"/>
      <c r="E13" s="292"/>
      <c r="F13" s="292"/>
      <c r="G13" s="292"/>
      <c r="H13" s="294"/>
      <c r="I13" s="294"/>
      <c r="J13" s="294"/>
      <c r="K13" s="292"/>
    </row>
    <row r="14" spans="1:11" s="285" customFormat="1" ht="28.5">
      <c r="A14" s="476" t="s">
        <v>63</v>
      </c>
      <c r="B14" s="297" t="s">
        <v>18</v>
      </c>
      <c r="C14" s="489" t="s">
        <v>19</v>
      </c>
      <c r="D14" s="490"/>
      <c r="E14" s="273" t="s">
        <v>20</v>
      </c>
      <c r="F14" s="273" t="s">
        <v>64</v>
      </c>
      <c r="G14" s="273" t="s">
        <v>24</v>
      </c>
      <c r="H14" s="273" t="s">
        <v>25</v>
      </c>
      <c r="I14" s="273" t="s">
        <v>26</v>
      </c>
      <c r="J14" s="273" t="s">
        <v>27</v>
      </c>
      <c r="K14" s="273" t="s">
        <v>28</v>
      </c>
    </row>
    <row r="15" spans="1:11" s="284" customFormat="1" ht="24.75" customHeight="1">
      <c r="A15" s="477"/>
      <c r="B15" s="298">
        <v>1</v>
      </c>
      <c r="C15" s="491" t="s">
        <v>29</v>
      </c>
      <c r="D15" s="492"/>
      <c r="E15" s="299"/>
      <c r="F15" s="299"/>
      <c r="G15" s="299"/>
      <c r="H15" s="300"/>
      <c r="I15" s="300"/>
      <c r="J15" s="300"/>
      <c r="K15" s="299"/>
    </row>
    <row r="16" spans="1:11" s="284" customFormat="1" ht="52.5" customHeight="1">
      <c r="A16" s="477"/>
      <c r="B16" s="301" t="s">
        <v>30</v>
      </c>
      <c r="C16" s="276" t="str">
        <f>'COMPOSIÇÕES SINAPI'!A11</f>
        <v>CPU-01</v>
      </c>
      <c r="D16" s="277" t="str">
        <f>'COMPOSIÇÕES SINAPI'!D11</f>
        <v>ADMINISTRAÇÃO LOCAL</v>
      </c>
      <c r="E16" s="276" t="str">
        <f>'COMPOSIÇÕES SINAPI'!E11</f>
        <v>%</v>
      </c>
      <c r="F16" s="278">
        <v>1</v>
      </c>
      <c r="G16" s="302">
        <f>'COMPOSIÇÕES SINAPI'!H14</f>
        <v>11326.72</v>
      </c>
      <c r="H16" s="303">
        <f>ROUNDUP(F16*G16,4)</f>
        <v>11326.72</v>
      </c>
      <c r="I16" s="317">
        <f>ROUND((1+$J$11)*G16,4)</f>
        <v>13761.9648</v>
      </c>
      <c r="J16" s="317">
        <f>ROUND(F16*I16,4)</f>
        <v>13761.9648</v>
      </c>
      <c r="K16" s="318">
        <f>J16/$J$38</f>
        <v>3.5947924216965785E-2</v>
      </c>
    </row>
    <row r="17" spans="1:11" s="284" customFormat="1" ht="35.25" customHeight="1">
      <c r="A17" s="477"/>
      <c r="B17" s="301" t="s">
        <v>33</v>
      </c>
      <c r="C17" s="276" t="str">
        <f>'COMPOSIÇÕES SINAPI'!A16</f>
        <v>CPU-02</v>
      </c>
      <c r="D17" s="277" t="str">
        <f>'COMPOSIÇÕES SINAPI'!D16</f>
        <v>PLACA DE OBRA EM CHAPA DE AÇO GALVANIZADO (1,60 M * 3,20 M)</v>
      </c>
      <c r="E17" s="276" t="str">
        <f>'COMPOSIÇÕES SINAPI'!E16</f>
        <v>M²</v>
      </c>
      <c r="F17" s="280">
        <f>1.6*3.2</f>
        <v>5.120000000000001</v>
      </c>
      <c r="G17" s="302">
        <f>'COMPOSIÇÕES SINAPI'!H27</f>
        <v>461.98540000000003</v>
      </c>
      <c r="H17" s="303">
        <f t="shared" ref="H17:H21" si="0">ROUNDUP(F17*G17,4)</f>
        <v>2365.3653000000004</v>
      </c>
      <c r="I17" s="317">
        <f t="shared" ref="I17:I21" si="1">ROUND((1+$J$11)*G17,4)</f>
        <v>561.31230000000005</v>
      </c>
      <c r="J17" s="317">
        <f t="shared" ref="J17:J21" si="2">ROUND(F17*I17,4)</f>
        <v>2873.9189999999999</v>
      </c>
      <c r="K17" s="318">
        <f t="shared" ref="K17:K22" si="3">J17/$J$38</f>
        <v>7.5070256259991367E-3</v>
      </c>
    </row>
    <row r="18" spans="1:11" s="284" customFormat="1" ht="28.5">
      <c r="A18" s="477"/>
      <c r="B18" s="301" t="s">
        <v>34</v>
      </c>
      <c r="C18" s="276" t="str">
        <f>'COMPOSIÇÕES SICRO'!A163</f>
        <v>SICRO 5914639</v>
      </c>
      <c r="D18" s="277" t="s">
        <v>35</v>
      </c>
      <c r="E18" s="276" t="str">
        <f>'COMPOSIÇÕES SICRO'!I162</f>
        <v>tkm</v>
      </c>
      <c r="F18" s="280">
        <f>ROUND(([13]Mobilização!$F$28)*0.7,4)</f>
        <v>6859.3</v>
      </c>
      <c r="G18" s="302">
        <f>'COMPOSIÇÕES SICRO'!I184</f>
        <v>0.63949999999999996</v>
      </c>
      <c r="H18" s="303">
        <f t="shared" si="0"/>
        <v>4386.5223999999998</v>
      </c>
      <c r="I18" s="317">
        <f t="shared" si="1"/>
        <v>0.77700000000000002</v>
      </c>
      <c r="J18" s="317">
        <f t="shared" si="2"/>
        <v>5329.6760999999997</v>
      </c>
      <c r="K18" s="318">
        <f t="shared" si="3"/>
        <v>1.3921761560077073E-2</v>
      </c>
    </row>
    <row r="19" spans="1:11" s="284" customFormat="1" ht="28.5">
      <c r="A19" s="477"/>
      <c r="B19" s="301" t="s">
        <v>36</v>
      </c>
      <c r="C19" s="276" t="str">
        <f>'COMPOSIÇÕES SICRO'!A189</f>
        <v>SICRO 5914640</v>
      </c>
      <c r="D19" s="277" t="s">
        <v>37</v>
      </c>
      <c r="E19" s="276" t="str">
        <f>'COMPOSIÇÕES SICRO'!I188</f>
        <v>tkm</v>
      </c>
      <c r="F19" s="280">
        <f>ROUND(([13]Mobilização!$F$28)*0.3,4)</f>
        <v>2939.7</v>
      </c>
      <c r="G19" s="302">
        <f>'COMPOSIÇÕES SICRO'!I210</f>
        <v>0.52549999999999997</v>
      </c>
      <c r="H19" s="303">
        <f t="shared" si="0"/>
        <v>1544.8124</v>
      </c>
      <c r="I19" s="317">
        <f t="shared" si="1"/>
        <v>0.63849999999999996</v>
      </c>
      <c r="J19" s="317">
        <f t="shared" si="2"/>
        <v>1876.9984999999999</v>
      </c>
      <c r="K19" s="318">
        <f t="shared" si="3"/>
        <v>4.9029481483166158E-3</v>
      </c>
    </row>
    <row r="20" spans="1:11" s="284" customFormat="1" ht="28.5">
      <c r="A20" s="477"/>
      <c r="B20" s="301" t="s">
        <v>38</v>
      </c>
      <c r="C20" s="276" t="str">
        <f>'COMPOSIÇÕES SICRO'!A163</f>
        <v>SICRO 5914639</v>
      </c>
      <c r="D20" s="277" t="s">
        <v>39</v>
      </c>
      <c r="E20" s="276" t="str">
        <f>'COMPOSIÇÕES SICRO'!I162</f>
        <v>tkm</v>
      </c>
      <c r="F20" s="280">
        <f>ROUND(([13]Mobilização!$F$28)*0.7,4)</f>
        <v>6859.3</v>
      </c>
      <c r="G20" s="302">
        <f>'COMPOSIÇÕES SICRO'!I184</f>
        <v>0.63949999999999996</v>
      </c>
      <c r="H20" s="303">
        <f t="shared" si="0"/>
        <v>4386.5223999999998</v>
      </c>
      <c r="I20" s="317">
        <f t="shared" si="1"/>
        <v>0.77700000000000002</v>
      </c>
      <c r="J20" s="317">
        <f t="shared" si="2"/>
        <v>5329.6760999999997</v>
      </c>
      <c r="K20" s="318">
        <f t="shared" si="3"/>
        <v>1.3921761560077073E-2</v>
      </c>
    </row>
    <row r="21" spans="1:11" s="284" customFormat="1" ht="28.5">
      <c r="A21" s="477"/>
      <c r="B21" s="301" t="s">
        <v>40</v>
      </c>
      <c r="C21" s="276" t="str">
        <f>'COMPOSIÇÕES SICRO'!A189</f>
        <v>SICRO 5914640</v>
      </c>
      <c r="D21" s="277" t="s">
        <v>41</v>
      </c>
      <c r="E21" s="276" t="str">
        <f>'COMPOSIÇÕES SICRO'!I188</f>
        <v>tkm</v>
      </c>
      <c r="F21" s="280">
        <f>ROUND(([13]Mobilização!$F$28)*0.3,4)</f>
        <v>2939.7</v>
      </c>
      <c r="G21" s="302">
        <f>'COMPOSIÇÕES SICRO'!I210</f>
        <v>0.52549999999999997</v>
      </c>
      <c r="H21" s="303">
        <f t="shared" si="0"/>
        <v>1544.8124</v>
      </c>
      <c r="I21" s="317">
        <f t="shared" si="1"/>
        <v>0.63849999999999996</v>
      </c>
      <c r="J21" s="317">
        <f t="shared" si="2"/>
        <v>1876.9984999999999</v>
      </c>
      <c r="K21" s="318">
        <f t="shared" si="3"/>
        <v>4.9029481483166158E-3</v>
      </c>
    </row>
    <row r="22" spans="1:11" s="285" customFormat="1" ht="14.25">
      <c r="A22" s="477"/>
      <c r="B22" s="470" t="s">
        <v>42</v>
      </c>
      <c r="C22" s="471"/>
      <c r="D22" s="471"/>
      <c r="E22" s="471"/>
      <c r="F22" s="471"/>
      <c r="G22" s="473"/>
      <c r="H22" s="304">
        <f>SUM(H16:H21)</f>
        <v>25554.754899999996</v>
      </c>
      <c r="I22" s="304"/>
      <c r="J22" s="319">
        <f>ROUND(J16+J17+J18+J19+J20+J21,4)</f>
        <v>31049.233</v>
      </c>
      <c r="K22" s="320">
        <f t="shared" si="3"/>
        <v>8.1104369259752299E-2</v>
      </c>
    </row>
    <row r="23" spans="1:11" s="286" customFormat="1" ht="14.25">
      <c r="A23" s="477"/>
      <c r="B23" s="268"/>
      <c r="C23" s="268"/>
      <c r="D23" s="305"/>
      <c r="E23" s="268"/>
      <c r="F23" s="306"/>
      <c r="G23" s="268"/>
      <c r="H23" s="307"/>
      <c r="I23" s="307"/>
      <c r="J23" s="307"/>
      <c r="K23" s="321"/>
    </row>
    <row r="24" spans="1:11" s="285" customFormat="1" ht="28.5">
      <c r="A24" s="477"/>
      <c r="B24" s="297" t="s">
        <v>18</v>
      </c>
      <c r="C24" s="489" t="s">
        <v>19</v>
      </c>
      <c r="D24" s="490"/>
      <c r="E24" s="273" t="s">
        <v>20</v>
      </c>
      <c r="F24" s="273" t="s">
        <v>64</v>
      </c>
      <c r="G24" s="273" t="s">
        <v>24</v>
      </c>
      <c r="H24" s="273" t="s">
        <v>25</v>
      </c>
      <c r="I24" s="273" t="s">
        <v>26</v>
      </c>
      <c r="J24" s="273" t="s">
        <v>27</v>
      </c>
      <c r="K24" s="273" t="s">
        <v>28</v>
      </c>
    </row>
    <row r="25" spans="1:11" s="284" customFormat="1" ht="27.75" customHeight="1">
      <c r="A25" s="477"/>
      <c r="B25" s="298">
        <v>2</v>
      </c>
      <c r="C25" s="468" t="s">
        <v>43</v>
      </c>
      <c r="D25" s="469"/>
      <c r="E25" s="308"/>
      <c r="F25" s="299"/>
      <c r="G25" s="299"/>
      <c r="H25" s="300"/>
      <c r="I25" s="300"/>
      <c r="J25" s="300"/>
      <c r="K25" s="299"/>
    </row>
    <row r="26" spans="1:11" s="284" customFormat="1" ht="64.5" customHeight="1">
      <c r="A26" s="477"/>
      <c r="B26" s="301" t="s">
        <v>44</v>
      </c>
      <c r="C26" s="276" t="str">
        <f>'COMPOSIÇÕES SICRO'!A110</f>
        <v>SICRO 5501706</v>
      </c>
      <c r="D26" s="277" t="s">
        <v>45</v>
      </c>
      <c r="E26" s="276" t="str">
        <f>'COMPOSIÇÕES SICRO'!I109</f>
        <v>m³</v>
      </c>
      <c r="F26" s="280">
        <f>142.2*5*5</f>
        <v>3555</v>
      </c>
      <c r="G26" s="302">
        <f>'COMPOSIÇÕES SICRO'!I132</f>
        <v>6.8318000000000003</v>
      </c>
      <c r="H26" s="303">
        <f t="shared" ref="H26:H31" si="4">ROUNDUP(F26*G26,4)</f>
        <v>24287.048999999999</v>
      </c>
      <c r="I26" s="317">
        <f t="shared" ref="I26:I35" si="5">ROUND((1+$J$11)*G26,4)</f>
        <v>8.3005999999999993</v>
      </c>
      <c r="J26" s="317">
        <f t="shared" ref="J26:J35" si="6">ROUND(F26*I26,4)</f>
        <v>29508.633000000002</v>
      </c>
      <c r="K26" s="318">
        <f>J26/$J$38</f>
        <v>7.7080134867824668E-2</v>
      </c>
    </row>
    <row r="27" spans="1:11" s="284" customFormat="1" ht="28.5">
      <c r="A27" s="477"/>
      <c r="B27" s="301" t="s">
        <v>46</v>
      </c>
      <c r="C27" s="276" t="str">
        <f>'COMPOSIÇÕES SICRO'!A10</f>
        <v>SICRO 3713608</v>
      </c>
      <c r="D27" s="277" t="s">
        <v>47</v>
      </c>
      <c r="E27" s="276" t="str">
        <f>'COMPOSIÇÕES SICRO'!I9</f>
        <v>m</v>
      </c>
      <c r="F27" s="280">
        <f>20*5*5</f>
        <v>500</v>
      </c>
      <c r="G27" s="302">
        <f>'COMPOSIÇÕES SICRO'!I43</f>
        <v>22.440999999999999</v>
      </c>
      <c r="H27" s="303">
        <f t="shared" si="4"/>
        <v>11220.5</v>
      </c>
      <c r="I27" s="317">
        <f t="shared" si="5"/>
        <v>27.265799999999999</v>
      </c>
      <c r="J27" s="317">
        <f t="shared" si="6"/>
        <v>13632.9</v>
      </c>
      <c r="K27" s="318">
        <f t="shared" ref="K27:K36" si="7">J27/$J$38</f>
        <v>3.5610791277236285E-2</v>
      </c>
    </row>
    <row r="28" spans="1:11" s="284" customFormat="1" ht="40.5" customHeight="1">
      <c r="A28" s="477"/>
      <c r="B28" s="301" t="s">
        <v>48</v>
      </c>
      <c r="C28" s="276" t="str">
        <f>'COMPOSIÇÕES SICRO'!A215</f>
        <v>SICRO 4011209</v>
      </c>
      <c r="D28" s="277" t="s">
        <v>49</v>
      </c>
      <c r="E28" s="276" t="str">
        <f>'COMPOSIÇÕES SICRO'!I214</f>
        <v>m²</v>
      </c>
      <c r="F28" s="280">
        <f>1000*6*5</f>
        <v>30000</v>
      </c>
      <c r="G28" s="302">
        <f>'COMPOSIÇÕES SICRO'!I242</f>
        <v>1.0789</v>
      </c>
      <c r="H28" s="303">
        <f t="shared" si="4"/>
        <v>32367</v>
      </c>
      <c r="I28" s="317">
        <f t="shared" si="5"/>
        <v>1.3109</v>
      </c>
      <c r="J28" s="317">
        <f t="shared" si="6"/>
        <v>39327</v>
      </c>
      <c r="K28" s="318">
        <f t="shared" si="7"/>
        <v>0.102726902460949</v>
      </c>
    </row>
    <row r="29" spans="1:11" s="284" customFormat="1" ht="26.25" customHeight="1">
      <c r="A29" s="477"/>
      <c r="B29" s="301" t="s">
        <v>50</v>
      </c>
      <c r="C29" s="276" t="str">
        <f>'COMPOSIÇÕES SICRO'!A48</f>
        <v>SICRO 4015612</v>
      </c>
      <c r="D29" s="277" t="s">
        <v>51</v>
      </c>
      <c r="E29" s="276" t="str">
        <f>'COMPOSIÇÕES SICRO'!I47</f>
        <v>m³</v>
      </c>
      <c r="F29" s="280">
        <f>(1000*6*0.15)*5</f>
        <v>4500</v>
      </c>
      <c r="G29" s="302">
        <f>'COMPOSIÇÕES SICRO'!I78</f>
        <v>11.3725</v>
      </c>
      <c r="H29" s="303">
        <f t="shared" si="4"/>
        <v>51176.25</v>
      </c>
      <c r="I29" s="317">
        <f t="shared" si="5"/>
        <v>13.817600000000001</v>
      </c>
      <c r="J29" s="317">
        <f t="shared" si="6"/>
        <v>62179.199999999997</v>
      </c>
      <c r="K29" s="318">
        <f t="shared" si="7"/>
        <v>0.16241962553715869</v>
      </c>
    </row>
    <row r="30" spans="1:11" s="284" customFormat="1" ht="28.5">
      <c r="A30" s="477"/>
      <c r="B30" s="301" t="s">
        <v>52</v>
      </c>
      <c r="C30" s="276" t="str">
        <f>'COMPOSIÇÕES SICRO'!A83</f>
        <v>SICRO 4016096</v>
      </c>
      <c r="D30" s="277" t="s">
        <v>53</v>
      </c>
      <c r="E30" s="276" t="str">
        <f>'COMPOSIÇÕES SICRO'!I82</f>
        <v>m³</v>
      </c>
      <c r="F30" s="280">
        <f>F29</f>
        <v>4500</v>
      </c>
      <c r="G30" s="302">
        <f>'COMPOSIÇÕES SICRO'!I105</f>
        <v>1.4444999999999999</v>
      </c>
      <c r="H30" s="303">
        <f t="shared" si="4"/>
        <v>6500.25</v>
      </c>
      <c r="I30" s="317">
        <f t="shared" si="5"/>
        <v>1.7551000000000001</v>
      </c>
      <c r="J30" s="317">
        <f t="shared" si="6"/>
        <v>7897.95</v>
      </c>
      <c r="K30" s="318">
        <f t="shared" si="7"/>
        <v>2.0630405047205536E-2</v>
      </c>
    </row>
    <row r="31" spans="1:11" s="284" customFormat="1" ht="48.75" customHeight="1">
      <c r="A31" s="477"/>
      <c r="B31" s="301" t="s">
        <v>54</v>
      </c>
      <c r="C31" s="276" t="str">
        <f>'COMPOSIÇÕES SICRO'!A137</f>
        <v>SICRO 5901639</v>
      </c>
      <c r="D31" s="277" t="s">
        <v>55</v>
      </c>
      <c r="E31" s="276" t="str">
        <f>'COMPOSIÇÕES SICRO'!I136</f>
        <v>tkm</v>
      </c>
      <c r="F31" s="443">
        <f>F29*(2.063/1.5)*1.5*17</f>
        <v>157819.50000000003</v>
      </c>
      <c r="G31" s="302">
        <f>'COMPOSIÇÕES SICRO'!I158</f>
        <v>0.80559999999999998</v>
      </c>
      <c r="H31" s="303">
        <f t="shared" si="4"/>
        <v>127139.38920000001</v>
      </c>
      <c r="I31" s="317">
        <f t="shared" si="5"/>
        <v>0.9788</v>
      </c>
      <c r="J31" s="317">
        <f t="shared" si="6"/>
        <v>154473.72659999999</v>
      </c>
      <c r="K31" s="318">
        <f t="shared" si="7"/>
        <v>0.40350414334216955</v>
      </c>
    </row>
    <row r="32" spans="1:11" s="284" customFormat="1" ht="48.75" customHeight="1">
      <c r="A32" s="477"/>
      <c r="B32" s="301" t="s">
        <v>56</v>
      </c>
      <c r="C32" s="276" t="str">
        <f>'MEMÓRIA DE CÁLCULOS'!B26</f>
        <v>CPU-03</v>
      </c>
      <c r="D32" s="309" t="str">
        <f>'MEMÓRIA DE CÁLCULOS'!C26</f>
        <v>PROJETO EXECUTIVO</v>
      </c>
      <c r="E32" s="276" t="str">
        <f>'MEMÓRIA DE CÁLCULOS'!D26</f>
        <v>m²</v>
      </c>
      <c r="F32" s="276">
        <f>'MEMÓRIA DE CÁLCULOS'!E26</f>
        <v>30000</v>
      </c>
      <c r="G32" s="302">
        <f>I32/(1+J11)</f>
        <v>0.84567901234567899</v>
      </c>
      <c r="H32" s="303"/>
      <c r="I32" s="317">
        <f>'COMPOSIÇÃO PROJETO EXECUTIVO'!G34</f>
        <v>1.0275000000000001</v>
      </c>
      <c r="J32" s="317">
        <f t="shared" si="6"/>
        <v>30825</v>
      </c>
      <c r="K32" s="318">
        <f t="shared" si="7"/>
        <v>8.0518645418128837E-2</v>
      </c>
    </row>
    <row r="33" spans="1:1020" s="284" customFormat="1" ht="26.25" customHeight="1">
      <c r="A33" s="477"/>
      <c r="B33" s="301" t="s">
        <v>57</v>
      </c>
      <c r="C33" s="276" t="str">
        <f>'COMPOSIÇÕES ENSAIOS'!H4</f>
        <v>CPU - 04</v>
      </c>
      <c r="D33" s="277" t="s">
        <v>65</v>
      </c>
      <c r="E33" s="276" t="str">
        <f>'COMPOSIÇÕES ENSAIOS'!E5</f>
        <v>und</v>
      </c>
      <c r="F33" s="280">
        <v>2</v>
      </c>
      <c r="G33" s="302">
        <f>'COMPOSIÇÕES ENSAIOS'!H11</f>
        <v>911</v>
      </c>
      <c r="H33" s="303">
        <f t="shared" ref="H33" si="8">ROUNDUP(F33*G33,4)</f>
        <v>1822</v>
      </c>
      <c r="I33" s="317">
        <f t="shared" si="5"/>
        <v>1106.865</v>
      </c>
      <c r="J33" s="317">
        <f t="shared" si="6"/>
        <v>2213.73</v>
      </c>
      <c r="K33" s="318">
        <f t="shared" si="7"/>
        <v>5.782531741167051E-3</v>
      </c>
    </row>
    <row r="34" spans="1:1020" s="284" customFormat="1" ht="39" customHeight="1">
      <c r="A34" s="477"/>
      <c r="B34" s="301" t="s">
        <v>59</v>
      </c>
      <c r="C34" s="276" t="str">
        <f>'COMPOSIÇÕES SICRO'!A247</f>
        <v>SICRO 5213440</v>
      </c>
      <c r="D34" s="277" t="str">
        <f>'MEMÓRIA DE CÁLCULOS'!C28</f>
        <v>PLACA DE REGULAMENTAÇÃO EM AÇO D = 0,60 M - PELÍCULA RETROREFLETIVA TIPO I + SI - FORNECIMENTO E IMPLANTAÇÃO</v>
      </c>
      <c r="E34" s="283" t="str">
        <f>'MEMÓRIA DE CÁLCULOS'!D28</f>
        <v>und</v>
      </c>
      <c r="F34" s="280">
        <f>'MEMÓRIA DE CÁLCULOS'!E28</f>
        <v>14</v>
      </c>
      <c r="G34" s="302">
        <f>'COMPOSIÇÕES SICRO'!I271</f>
        <v>254.09200000000001</v>
      </c>
      <c r="H34" s="303"/>
      <c r="I34" s="317">
        <f t="shared" si="5"/>
        <v>308.72179999999997</v>
      </c>
      <c r="J34" s="317">
        <f t="shared" si="6"/>
        <v>4322.1052</v>
      </c>
      <c r="K34" s="318">
        <f t="shared" si="7"/>
        <v>1.1289863943508543E-2</v>
      </c>
    </row>
    <row r="35" spans="1:1020" s="284" customFormat="1" ht="53.25" customHeight="1">
      <c r="A35" s="477"/>
      <c r="B35" s="301" t="s">
        <v>60</v>
      </c>
      <c r="C35" s="276" t="str">
        <f>'COMPOSIÇÕES SICRO'!A276</f>
        <v>SICRO 5213863</v>
      </c>
      <c r="D35" s="277" t="str">
        <f>'MEMÓRIA DE CÁLCULOS'!C29</f>
        <v>SUPORTE METÁLICO GALVANIZADO PARA PLACA DE ADVERTÊNCIA OU REGULAMENTAÇÃO - LADO OU DIÂMETRO DE 0,60 M - FORNECIMENTO E IMPLANTAÇÃO</v>
      </c>
      <c r="E35" s="283" t="str">
        <f>'MEMÓRIA DE CÁLCULOS'!D29</f>
        <v>und</v>
      </c>
      <c r="F35" s="280">
        <f>'MEMÓRIA DE CÁLCULOS'!E29</f>
        <v>14</v>
      </c>
      <c r="G35" s="302">
        <f>'COMPOSIÇÕES SICRO'!I307</f>
        <v>435.10320000000002</v>
      </c>
      <c r="H35" s="303"/>
      <c r="I35" s="317">
        <f t="shared" si="5"/>
        <v>528.65039999999999</v>
      </c>
      <c r="J35" s="317">
        <f t="shared" si="6"/>
        <v>7401.1055999999999</v>
      </c>
      <c r="K35" s="318">
        <f t="shared" si="7"/>
        <v>1.9332587104899518E-2</v>
      </c>
    </row>
    <row r="36" spans="1:1020" s="284" customFormat="1" ht="14.25">
      <c r="A36" s="477"/>
      <c r="B36" s="470" t="s">
        <v>61</v>
      </c>
      <c r="C36" s="471"/>
      <c r="D36" s="471"/>
      <c r="E36" s="471"/>
      <c r="F36" s="471"/>
      <c r="G36" s="473"/>
      <c r="H36" s="310">
        <f>SUM(H26:H31)</f>
        <v>252690.4382</v>
      </c>
      <c r="I36" s="310"/>
      <c r="J36" s="322">
        <f>ROUND(J26+J27+J28+J29+J30+J31+J32+J33+J34+J35,4)</f>
        <v>351781.3504</v>
      </c>
      <c r="K36" s="323">
        <f t="shared" si="7"/>
        <v>0.91889563074024772</v>
      </c>
    </row>
    <row r="37" spans="1:1020" s="284" customFormat="1" ht="14.25">
      <c r="A37" s="477"/>
      <c r="B37" s="271"/>
      <c r="C37" s="271"/>
      <c r="D37" s="264"/>
      <c r="E37" s="271"/>
      <c r="F37" s="271"/>
      <c r="G37" s="271"/>
      <c r="H37" s="311"/>
      <c r="I37" s="311"/>
      <c r="J37" s="311"/>
      <c r="K37" s="324"/>
    </row>
    <row r="38" spans="1:1020" s="287" customFormat="1" ht="18.75">
      <c r="A38" s="478"/>
      <c r="B38" s="494" t="s">
        <v>62</v>
      </c>
      <c r="C38" s="494"/>
      <c r="D38" s="494"/>
      <c r="E38" s="494"/>
      <c r="F38" s="494"/>
      <c r="G38" s="495"/>
      <c r="H38" s="312">
        <f>SUM(H22,H36)</f>
        <v>278245.19309999997</v>
      </c>
      <c r="I38" s="325"/>
      <c r="J38" s="326">
        <f>ROUND(SUM(J22,J36),4)</f>
        <v>382830.5834</v>
      </c>
      <c r="K38" s="327">
        <f>SUM(K22,K36)</f>
        <v>1</v>
      </c>
    </row>
    <row r="39" spans="1:1020" s="284" customFormat="1" ht="18.75">
      <c r="A39" s="294"/>
      <c r="B39" s="496" t="s">
        <v>66</v>
      </c>
      <c r="C39" s="496"/>
      <c r="D39" s="496"/>
      <c r="E39" s="496"/>
      <c r="F39" s="496"/>
      <c r="G39" s="496"/>
      <c r="H39" s="313">
        <f>H38/5</f>
        <v>55649.038619999992</v>
      </c>
      <c r="I39" s="313"/>
      <c r="J39" s="328">
        <f>ROUND(J38/5,4)</f>
        <v>76566.116699999999</v>
      </c>
      <c r="K39" s="292"/>
    </row>
    <row r="40" spans="1:1020" s="288" customFormat="1">
      <c r="A40" s="284"/>
      <c r="B40" s="292"/>
      <c r="C40" s="292"/>
      <c r="D40" s="284"/>
      <c r="E40" s="292"/>
      <c r="F40" s="292"/>
      <c r="G40" s="294" t="s">
        <v>67</v>
      </c>
      <c r="H40" s="314">
        <f>H39/6000</f>
        <v>9.274839769999998</v>
      </c>
      <c r="I40" s="314"/>
      <c r="J40" s="329">
        <f>ROUND(J39/6000,4)</f>
        <v>12.760999999999999</v>
      </c>
      <c r="K40" s="292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  <c r="AF40" s="284"/>
      <c r="AG40" s="284"/>
      <c r="AH40" s="284"/>
      <c r="AI40" s="284"/>
      <c r="AJ40" s="284"/>
      <c r="AK40" s="284"/>
      <c r="AL40" s="284"/>
      <c r="AM40" s="284"/>
      <c r="AN40" s="284"/>
      <c r="AO40" s="284"/>
      <c r="AP40" s="284"/>
      <c r="AQ40" s="284"/>
      <c r="AR40" s="284"/>
      <c r="AS40" s="284"/>
      <c r="AT40" s="284"/>
      <c r="AU40" s="284"/>
      <c r="AV40" s="284"/>
      <c r="AW40" s="284"/>
      <c r="AX40" s="284"/>
      <c r="AY40" s="284"/>
      <c r="AZ40" s="284"/>
      <c r="BA40" s="284"/>
      <c r="BB40" s="284"/>
      <c r="BC40" s="284"/>
      <c r="BD40" s="284"/>
      <c r="BE40" s="284"/>
      <c r="BF40" s="284"/>
      <c r="BG40" s="284"/>
      <c r="BH40" s="284"/>
      <c r="BI40" s="284"/>
      <c r="BJ40" s="284"/>
      <c r="BK40" s="284"/>
      <c r="BL40" s="284"/>
      <c r="BM40" s="284"/>
      <c r="BN40" s="284"/>
      <c r="BO40" s="284"/>
      <c r="BP40" s="284"/>
      <c r="BQ40" s="284"/>
      <c r="BR40" s="284"/>
      <c r="BS40" s="284"/>
      <c r="BT40" s="284"/>
      <c r="BU40" s="284"/>
      <c r="BV40" s="284"/>
      <c r="BW40" s="284"/>
      <c r="BX40" s="284"/>
      <c r="BY40" s="284"/>
      <c r="BZ40" s="284"/>
      <c r="CA40" s="284"/>
      <c r="CB40" s="284"/>
      <c r="CC40" s="284"/>
      <c r="CD40" s="284"/>
      <c r="CE40" s="284"/>
      <c r="CF40" s="284"/>
      <c r="CG40" s="284"/>
      <c r="CH40" s="284"/>
      <c r="CI40" s="284"/>
      <c r="CJ40" s="284"/>
      <c r="CK40" s="284"/>
      <c r="CL40" s="284"/>
      <c r="CM40" s="284"/>
      <c r="CN40" s="284"/>
      <c r="CO40" s="284"/>
      <c r="CP40" s="284"/>
      <c r="CQ40" s="284"/>
      <c r="CR40" s="284"/>
      <c r="CS40" s="284"/>
      <c r="CT40" s="284"/>
      <c r="CU40" s="284"/>
      <c r="CV40" s="284"/>
      <c r="CW40" s="284"/>
      <c r="CX40" s="284"/>
      <c r="CY40" s="284"/>
      <c r="CZ40" s="284"/>
      <c r="DA40" s="284"/>
      <c r="DB40" s="284"/>
      <c r="DC40" s="284"/>
      <c r="DD40" s="284"/>
      <c r="DE40" s="284"/>
      <c r="DF40" s="284"/>
      <c r="DG40" s="284"/>
      <c r="DH40" s="284"/>
      <c r="DI40" s="284"/>
      <c r="DJ40" s="284"/>
      <c r="DK40" s="284"/>
      <c r="DL40" s="284"/>
      <c r="DM40" s="284"/>
      <c r="DN40" s="284"/>
      <c r="DO40" s="284"/>
      <c r="DP40" s="284"/>
      <c r="DQ40" s="284"/>
      <c r="DR40" s="284"/>
      <c r="DS40" s="284"/>
      <c r="DT40" s="284"/>
      <c r="DU40" s="284"/>
      <c r="DV40" s="284"/>
      <c r="DW40" s="284"/>
      <c r="DX40" s="284"/>
      <c r="DY40" s="284"/>
      <c r="DZ40" s="284"/>
      <c r="EA40" s="284"/>
      <c r="EB40" s="284"/>
      <c r="EC40" s="284"/>
      <c r="ED40" s="284"/>
      <c r="EE40" s="284"/>
      <c r="EF40" s="284"/>
      <c r="EG40" s="284"/>
      <c r="EH40" s="284"/>
      <c r="EI40" s="284"/>
      <c r="EJ40" s="284"/>
      <c r="EK40" s="284"/>
      <c r="EL40" s="284"/>
      <c r="EM40" s="284"/>
      <c r="EN40" s="284"/>
      <c r="EO40" s="284"/>
      <c r="EP40" s="284"/>
      <c r="EQ40" s="284"/>
      <c r="ER40" s="284"/>
      <c r="ES40" s="284"/>
      <c r="ET40" s="284"/>
      <c r="EU40" s="284"/>
      <c r="EV40" s="284"/>
      <c r="EW40" s="284"/>
      <c r="EX40" s="284"/>
      <c r="EY40" s="284"/>
      <c r="EZ40" s="284"/>
      <c r="FA40" s="284"/>
      <c r="FB40" s="284"/>
      <c r="FC40" s="284"/>
      <c r="FD40" s="284"/>
      <c r="FE40" s="284"/>
      <c r="FF40" s="284"/>
      <c r="FG40" s="284"/>
      <c r="FH40" s="284"/>
      <c r="FI40" s="284"/>
      <c r="FJ40" s="284"/>
      <c r="FK40" s="284"/>
      <c r="FL40" s="284"/>
      <c r="FM40" s="284"/>
      <c r="FN40" s="284"/>
      <c r="FO40" s="284"/>
      <c r="FP40" s="284"/>
      <c r="FQ40" s="284"/>
      <c r="FR40" s="284"/>
      <c r="FS40" s="284"/>
      <c r="FT40" s="284"/>
      <c r="FU40" s="284"/>
      <c r="FV40" s="284"/>
      <c r="FW40" s="284"/>
      <c r="FX40" s="284"/>
      <c r="FY40" s="284"/>
      <c r="FZ40" s="284"/>
      <c r="GA40" s="284"/>
      <c r="GB40" s="284"/>
      <c r="GC40" s="284"/>
      <c r="GD40" s="284"/>
      <c r="GE40" s="284"/>
      <c r="GF40" s="284"/>
      <c r="GG40" s="284"/>
      <c r="GH40" s="284"/>
      <c r="GI40" s="284"/>
      <c r="GJ40" s="284"/>
      <c r="GK40" s="284"/>
      <c r="GL40" s="284"/>
      <c r="GM40" s="284"/>
      <c r="GN40" s="284"/>
      <c r="GO40" s="284"/>
      <c r="GP40" s="284"/>
      <c r="GQ40" s="284"/>
      <c r="GR40" s="284"/>
      <c r="GS40" s="284"/>
      <c r="GT40" s="284"/>
      <c r="GU40" s="284"/>
      <c r="GV40" s="284"/>
      <c r="GW40" s="284"/>
      <c r="GX40" s="284"/>
      <c r="GY40" s="284"/>
      <c r="GZ40" s="284"/>
      <c r="HA40" s="284"/>
      <c r="HB40" s="284"/>
      <c r="HC40" s="284"/>
      <c r="HD40" s="284"/>
      <c r="HE40" s="284"/>
      <c r="HF40" s="284"/>
      <c r="HG40" s="284"/>
      <c r="HH40" s="284"/>
      <c r="HI40" s="284"/>
      <c r="HJ40" s="284"/>
      <c r="HK40" s="284"/>
      <c r="HL40" s="284"/>
      <c r="HM40" s="284"/>
      <c r="HN40" s="284"/>
      <c r="HO40" s="284"/>
      <c r="HP40" s="284"/>
      <c r="HQ40" s="284"/>
      <c r="HR40" s="284"/>
      <c r="HS40" s="284"/>
      <c r="HT40" s="284"/>
      <c r="HU40" s="284"/>
      <c r="HV40" s="284"/>
      <c r="HW40" s="284"/>
      <c r="HX40" s="284"/>
      <c r="HY40" s="284"/>
      <c r="HZ40" s="284"/>
      <c r="IA40" s="284"/>
      <c r="IB40" s="284"/>
      <c r="IC40" s="284"/>
      <c r="ID40" s="284"/>
      <c r="IE40" s="284"/>
      <c r="IF40" s="284"/>
      <c r="IG40" s="284"/>
      <c r="IH40" s="284"/>
      <c r="II40" s="284"/>
      <c r="IJ40" s="284"/>
      <c r="IK40" s="284"/>
      <c r="IL40" s="284"/>
      <c r="IM40" s="284"/>
      <c r="IN40" s="284"/>
      <c r="IO40" s="284"/>
      <c r="IP40" s="284"/>
      <c r="IQ40" s="284"/>
      <c r="IR40" s="284"/>
      <c r="IS40" s="284"/>
      <c r="IT40" s="284"/>
      <c r="IU40" s="284"/>
      <c r="IV40" s="284"/>
      <c r="IW40" s="284"/>
      <c r="IX40" s="284"/>
      <c r="IY40" s="284"/>
      <c r="IZ40" s="284"/>
      <c r="JA40" s="284"/>
      <c r="JB40" s="284"/>
      <c r="JC40" s="284"/>
      <c r="JD40" s="284"/>
      <c r="JE40" s="284"/>
      <c r="JF40" s="284"/>
      <c r="JG40" s="284"/>
      <c r="JH40" s="284"/>
      <c r="JI40" s="284"/>
      <c r="JJ40" s="284"/>
      <c r="JK40" s="284"/>
      <c r="JL40" s="284"/>
      <c r="JM40" s="284"/>
      <c r="JN40" s="284"/>
      <c r="JO40" s="284"/>
      <c r="JP40" s="284"/>
      <c r="JQ40" s="284"/>
      <c r="JR40" s="284"/>
      <c r="JS40" s="284"/>
      <c r="JT40" s="284"/>
      <c r="JU40" s="284"/>
      <c r="JV40" s="284"/>
      <c r="JW40" s="284"/>
      <c r="JX40" s="284"/>
      <c r="JY40" s="284"/>
      <c r="JZ40" s="284"/>
      <c r="KA40" s="284"/>
      <c r="KB40" s="284"/>
      <c r="KC40" s="284"/>
      <c r="KD40" s="284"/>
      <c r="KE40" s="284"/>
      <c r="KF40" s="284"/>
      <c r="KG40" s="284"/>
      <c r="KH40" s="284"/>
      <c r="KI40" s="284"/>
      <c r="KJ40" s="284"/>
      <c r="KK40" s="284"/>
      <c r="KL40" s="284"/>
      <c r="KM40" s="284"/>
      <c r="KN40" s="284"/>
      <c r="KO40" s="284"/>
      <c r="KP40" s="284"/>
      <c r="KQ40" s="284"/>
      <c r="KR40" s="284"/>
      <c r="KS40" s="284"/>
      <c r="KT40" s="284"/>
      <c r="KU40" s="284"/>
      <c r="KV40" s="284"/>
      <c r="KW40" s="284"/>
      <c r="KX40" s="284"/>
      <c r="KY40" s="284"/>
      <c r="KZ40" s="284"/>
      <c r="LA40" s="284"/>
      <c r="LB40" s="284"/>
      <c r="LC40" s="284"/>
      <c r="LD40" s="284"/>
      <c r="LE40" s="284"/>
      <c r="LF40" s="284"/>
      <c r="LG40" s="284"/>
      <c r="LH40" s="284"/>
      <c r="LI40" s="284"/>
      <c r="LJ40" s="284"/>
      <c r="LK40" s="284"/>
      <c r="LL40" s="284"/>
      <c r="LM40" s="284"/>
      <c r="LN40" s="284"/>
      <c r="LO40" s="284"/>
      <c r="LP40" s="284"/>
      <c r="LQ40" s="284"/>
      <c r="LR40" s="284"/>
      <c r="LS40" s="284"/>
      <c r="LT40" s="284"/>
      <c r="LU40" s="284"/>
      <c r="LV40" s="284"/>
      <c r="LW40" s="284"/>
      <c r="LX40" s="284"/>
      <c r="LY40" s="284"/>
      <c r="LZ40" s="284"/>
      <c r="MA40" s="284"/>
      <c r="MB40" s="284"/>
      <c r="MC40" s="284"/>
      <c r="MD40" s="284"/>
      <c r="ME40" s="284"/>
      <c r="MF40" s="284"/>
      <c r="MG40" s="284"/>
      <c r="MH40" s="284"/>
      <c r="MI40" s="284"/>
      <c r="MJ40" s="284"/>
      <c r="MK40" s="284"/>
      <c r="ML40" s="284"/>
      <c r="MM40" s="284"/>
      <c r="MN40" s="284"/>
      <c r="MO40" s="284"/>
      <c r="MP40" s="284"/>
      <c r="MQ40" s="284"/>
      <c r="MR40" s="284"/>
      <c r="MS40" s="284"/>
      <c r="MT40" s="284"/>
      <c r="MU40" s="284"/>
      <c r="MV40" s="284"/>
      <c r="MW40" s="284"/>
      <c r="MX40" s="284"/>
      <c r="MY40" s="284"/>
      <c r="MZ40" s="284"/>
      <c r="NA40" s="284"/>
      <c r="NB40" s="284"/>
      <c r="NC40" s="284"/>
      <c r="ND40" s="284"/>
      <c r="NE40" s="284"/>
      <c r="NF40" s="284"/>
      <c r="NG40" s="284"/>
      <c r="NH40" s="284"/>
      <c r="NI40" s="284"/>
      <c r="NJ40" s="284"/>
      <c r="NK40" s="284"/>
      <c r="NL40" s="284"/>
      <c r="NM40" s="284"/>
      <c r="NN40" s="284"/>
      <c r="NO40" s="284"/>
      <c r="NP40" s="284"/>
      <c r="NQ40" s="284"/>
      <c r="NR40" s="284"/>
      <c r="NS40" s="284"/>
      <c r="NT40" s="284"/>
      <c r="NU40" s="284"/>
      <c r="NV40" s="284"/>
      <c r="NW40" s="284"/>
      <c r="NX40" s="284"/>
      <c r="NY40" s="284"/>
      <c r="NZ40" s="284"/>
      <c r="OA40" s="284"/>
      <c r="OB40" s="284"/>
      <c r="OC40" s="284"/>
      <c r="OD40" s="284"/>
      <c r="OE40" s="284"/>
      <c r="OF40" s="284"/>
      <c r="OG40" s="284"/>
      <c r="OH40" s="284"/>
      <c r="OI40" s="284"/>
      <c r="OJ40" s="284"/>
      <c r="OK40" s="284"/>
      <c r="OL40" s="284"/>
      <c r="OM40" s="284"/>
      <c r="ON40" s="284"/>
      <c r="OO40" s="284"/>
      <c r="OP40" s="284"/>
      <c r="OQ40" s="284"/>
      <c r="OR40" s="284"/>
      <c r="OS40" s="284"/>
      <c r="OT40" s="284"/>
      <c r="OU40" s="284"/>
      <c r="OV40" s="284"/>
      <c r="OW40" s="284"/>
      <c r="OX40" s="284"/>
      <c r="OY40" s="284"/>
      <c r="OZ40" s="284"/>
      <c r="PA40" s="284"/>
      <c r="PB40" s="284"/>
      <c r="PC40" s="284"/>
      <c r="PD40" s="284"/>
      <c r="PE40" s="284"/>
      <c r="PF40" s="284"/>
      <c r="PG40" s="284"/>
      <c r="PH40" s="284"/>
      <c r="PI40" s="284"/>
      <c r="PJ40" s="284"/>
      <c r="PK40" s="284"/>
      <c r="PL40" s="284"/>
      <c r="PM40" s="284"/>
      <c r="PN40" s="284"/>
      <c r="PO40" s="284"/>
      <c r="PP40" s="284"/>
      <c r="PQ40" s="284"/>
      <c r="PR40" s="284"/>
      <c r="PS40" s="284"/>
      <c r="PT40" s="284"/>
      <c r="PU40" s="284"/>
      <c r="PV40" s="284"/>
      <c r="PW40" s="284"/>
      <c r="PX40" s="284"/>
      <c r="PY40" s="284"/>
      <c r="PZ40" s="284"/>
      <c r="QA40" s="284"/>
      <c r="QB40" s="284"/>
      <c r="QC40" s="284"/>
      <c r="QD40" s="284"/>
      <c r="QE40" s="284"/>
      <c r="QF40" s="284"/>
      <c r="QG40" s="284"/>
      <c r="QH40" s="284"/>
      <c r="QI40" s="284"/>
      <c r="QJ40" s="284"/>
      <c r="QK40" s="284"/>
      <c r="QL40" s="284"/>
      <c r="QM40" s="284"/>
      <c r="QN40" s="284"/>
      <c r="QO40" s="284"/>
      <c r="QP40" s="284"/>
      <c r="QQ40" s="284"/>
      <c r="QR40" s="284"/>
      <c r="QS40" s="284"/>
      <c r="QT40" s="284"/>
      <c r="QU40" s="284"/>
      <c r="QV40" s="284"/>
      <c r="QW40" s="284"/>
      <c r="QX40" s="284"/>
      <c r="QY40" s="284"/>
      <c r="QZ40" s="284"/>
      <c r="RA40" s="284"/>
      <c r="RB40" s="284"/>
      <c r="RC40" s="284"/>
      <c r="RD40" s="284"/>
      <c r="RE40" s="284"/>
      <c r="RF40" s="284"/>
      <c r="RG40" s="284"/>
      <c r="RH40" s="284"/>
      <c r="RI40" s="284"/>
      <c r="RJ40" s="284"/>
      <c r="RK40" s="284"/>
      <c r="RL40" s="284"/>
      <c r="RM40" s="284"/>
      <c r="RN40" s="284"/>
      <c r="RO40" s="284"/>
      <c r="RP40" s="284"/>
      <c r="RQ40" s="284"/>
      <c r="RR40" s="284"/>
      <c r="RS40" s="284"/>
      <c r="RT40" s="284"/>
      <c r="RU40" s="284"/>
      <c r="RV40" s="284"/>
      <c r="RW40" s="284"/>
      <c r="RX40" s="284"/>
      <c r="RY40" s="284"/>
      <c r="RZ40" s="284"/>
      <c r="SA40" s="284"/>
      <c r="SB40" s="284"/>
      <c r="SC40" s="284"/>
      <c r="SD40" s="284"/>
      <c r="SE40" s="284"/>
      <c r="SF40" s="284"/>
      <c r="SG40" s="284"/>
      <c r="SH40" s="284"/>
      <c r="SI40" s="284"/>
      <c r="SJ40" s="284"/>
      <c r="SK40" s="284"/>
      <c r="SL40" s="284"/>
      <c r="SM40" s="284"/>
      <c r="SN40" s="284"/>
      <c r="SO40" s="284"/>
      <c r="SP40" s="284"/>
      <c r="SQ40" s="284"/>
      <c r="SR40" s="284"/>
      <c r="SS40" s="284"/>
      <c r="ST40" s="284"/>
      <c r="SU40" s="284"/>
      <c r="SV40" s="284"/>
      <c r="SW40" s="284"/>
      <c r="SX40" s="284"/>
      <c r="SY40" s="284"/>
      <c r="SZ40" s="284"/>
      <c r="TA40" s="284"/>
      <c r="TB40" s="284"/>
      <c r="TC40" s="284"/>
      <c r="TD40" s="284"/>
      <c r="TE40" s="284"/>
      <c r="TF40" s="284"/>
      <c r="TG40" s="284"/>
      <c r="TH40" s="284"/>
      <c r="TI40" s="284"/>
      <c r="TJ40" s="284"/>
      <c r="TK40" s="284"/>
      <c r="TL40" s="284"/>
      <c r="TM40" s="284"/>
      <c r="TN40" s="284"/>
      <c r="TO40" s="284"/>
      <c r="TP40" s="284"/>
      <c r="TQ40" s="284"/>
      <c r="TR40" s="284"/>
      <c r="TS40" s="284"/>
      <c r="TT40" s="284"/>
      <c r="TU40" s="284"/>
      <c r="TV40" s="284"/>
      <c r="TW40" s="284"/>
      <c r="TX40" s="284"/>
      <c r="TY40" s="284"/>
      <c r="TZ40" s="284"/>
      <c r="UA40" s="284"/>
      <c r="UB40" s="284"/>
      <c r="UC40" s="284"/>
      <c r="UD40" s="284"/>
      <c r="UE40" s="284"/>
      <c r="UF40" s="284"/>
      <c r="UG40" s="284"/>
      <c r="UH40" s="284"/>
      <c r="UI40" s="284"/>
      <c r="UJ40" s="284"/>
      <c r="UK40" s="284"/>
      <c r="UL40" s="284"/>
      <c r="UM40" s="284"/>
      <c r="UN40" s="284"/>
      <c r="UO40" s="284"/>
      <c r="UP40" s="284"/>
      <c r="UQ40" s="284"/>
      <c r="UR40" s="284"/>
      <c r="US40" s="284"/>
      <c r="UT40" s="284"/>
      <c r="UU40" s="284"/>
      <c r="UV40" s="284"/>
      <c r="UW40" s="284"/>
      <c r="UX40" s="284"/>
      <c r="UY40" s="284"/>
      <c r="UZ40" s="284"/>
      <c r="VA40" s="284"/>
      <c r="VB40" s="284"/>
      <c r="VC40" s="284"/>
      <c r="VD40" s="284"/>
      <c r="VE40" s="284"/>
      <c r="VF40" s="284"/>
      <c r="VG40" s="284"/>
      <c r="VH40" s="284"/>
      <c r="VI40" s="284"/>
      <c r="VJ40" s="284"/>
      <c r="VK40" s="284"/>
      <c r="VL40" s="284"/>
      <c r="VM40" s="284"/>
      <c r="VN40" s="284"/>
      <c r="VO40" s="284"/>
      <c r="VP40" s="284"/>
      <c r="VQ40" s="284"/>
      <c r="VR40" s="284"/>
      <c r="VS40" s="284"/>
      <c r="VT40" s="284"/>
      <c r="VU40" s="284"/>
      <c r="VV40" s="284"/>
      <c r="VW40" s="284"/>
      <c r="VX40" s="284"/>
      <c r="VY40" s="284"/>
      <c r="VZ40" s="284"/>
      <c r="WA40" s="284"/>
      <c r="WB40" s="284"/>
      <c r="WC40" s="284"/>
      <c r="WD40" s="284"/>
      <c r="WE40" s="284"/>
      <c r="WF40" s="284"/>
      <c r="WG40" s="284"/>
      <c r="WH40" s="284"/>
      <c r="WI40" s="284"/>
      <c r="WJ40" s="284"/>
      <c r="WK40" s="284"/>
      <c r="WL40" s="284"/>
      <c r="WM40" s="284"/>
      <c r="WN40" s="284"/>
      <c r="WO40" s="284"/>
      <c r="WP40" s="284"/>
      <c r="WQ40" s="284"/>
      <c r="WR40" s="284"/>
      <c r="WS40" s="284"/>
      <c r="WT40" s="284"/>
      <c r="WU40" s="284"/>
      <c r="WV40" s="284"/>
      <c r="WW40" s="284"/>
      <c r="WX40" s="284"/>
      <c r="WY40" s="284"/>
      <c r="WZ40" s="284"/>
      <c r="XA40" s="284"/>
      <c r="XB40" s="284"/>
      <c r="XC40" s="284"/>
      <c r="XD40" s="284"/>
      <c r="XE40" s="284"/>
      <c r="XF40" s="284"/>
      <c r="XG40" s="284"/>
      <c r="XH40" s="284"/>
      <c r="XI40" s="284"/>
      <c r="XJ40" s="284"/>
      <c r="XK40" s="284"/>
      <c r="XL40" s="284"/>
      <c r="XM40" s="284"/>
      <c r="XN40" s="284"/>
      <c r="XO40" s="284"/>
      <c r="XP40" s="284"/>
      <c r="XQ40" s="284"/>
      <c r="XR40" s="284"/>
      <c r="XS40" s="284"/>
      <c r="XT40" s="284"/>
      <c r="XU40" s="284"/>
      <c r="XV40" s="284"/>
      <c r="XW40" s="284"/>
      <c r="XX40" s="284"/>
      <c r="XY40" s="284"/>
      <c r="XZ40" s="284"/>
      <c r="YA40" s="284"/>
      <c r="YB40" s="284"/>
      <c r="YC40" s="284"/>
      <c r="YD40" s="284"/>
      <c r="YE40" s="284"/>
      <c r="YF40" s="284"/>
      <c r="YG40" s="284"/>
      <c r="YH40" s="284"/>
      <c r="YI40" s="284"/>
      <c r="YJ40" s="284"/>
      <c r="YK40" s="284"/>
      <c r="YL40" s="284"/>
      <c r="YM40" s="284"/>
      <c r="YN40" s="284"/>
      <c r="YO40" s="284"/>
      <c r="YP40" s="284"/>
      <c r="YQ40" s="284"/>
      <c r="YR40" s="284"/>
      <c r="YS40" s="284"/>
      <c r="YT40" s="284"/>
      <c r="YU40" s="284"/>
      <c r="YV40" s="284"/>
      <c r="YW40" s="284"/>
      <c r="YX40" s="284"/>
      <c r="YY40" s="284"/>
      <c r="YZ40" s="284"/>
      <c r="ZA40" s="284"/>
      <c r="ZB40" s="284"/>
      <c r="ZC40" s="284"/>
      <c r="ZD40" s="284"/>
      <c r="ZE40" s="284"/>
      <c r="ZF40" s="284"/>
      <c r="ZG40" s="284"/>
      <c r="ZH40" s="284"/>
      <c r="ZI40" s="284"/>
      <c r="ZJ40" s="284"/>
      <c r="ZK40" s="284"/>
      <c r="ZL40" s="284"/>
      <c r="ZM40" s="284"/>
      <c r="ZN40" s="284"/>
      <c r="ZO40" s="284"/>
      <c r="ZP40" s="284"/>
      <c r="ZQ40" s="284"/>
      <c r="ZR40" s="284"/>
      <c r="ZS40" s="284"/>
      <c r="ZT40" s="284"/>
      <c r="ZU40" s="284"/>
      <c r="ZV40" s="284"/>
      <c r="ZW40" s="284"/>
      <c r="ZX40" s="284"/>
      <c r="ZY40" s="284"/>
      <c r="ZZ40" s="284"/>
      <c r="AAA40" s="284"/>
      <c r="AAB40" s="284"/>
      <c r="AAC40" s="284"/>
      <c r="AAD40" s="284"/>
      <c r="AAE40" s="284"/>
      <c r="AAF40" s="284"/>
      <c r="AAG40" s="284"/>
      <c r="AAH40" s="284"/>
      <c r="AAI40" s="284"/>
      <c r="AAJ40" s="284"/>
      <c r="AAK40" s="284"/>
      <c r="AAL40" s="284"/>
      <c r="AAM40" s="284"/>
      <c r="AAN40" s="284"/>
      <c r="AAO40" s="284"/>
      <c r="AAP40" s="284"/>
      <c r="AAQ40" s="284"/>
      <c r="AAR40" s="284"/>
      <c r="AAS40" s="284"/>
      <c r="AAT40" s="284"/>
      <c r="AAU40" s="284"/>
      <c r="AAV40" s="284"/>
      <c r="AAW40" s="284"/>
      <c r="AAX40" s="284"/>
      <c r="AAY40" s="284"/>
      <c r="AAZ40" s="284"/>
      <c r="ABA40" s="284"/>
      <c r="ABB40" s="284"/>
      <c r="ABC40" s="284"/>
      <c r="ABD40" s="284"/>
      <c r="ABE40" s="284"/>
      <c r="ABF40" s="284"/>
      <c r="ABG40" s="284"/>
      <c r="ABH40" s="284"/>
      <c r="ABI40" s="284"/>
      <c r="ABJ40" s="284"/>
      <c r="ABK40" s="284"/>
      <c r="ABL40" s="284"/>
      <c r="ABM40" s="284"/>
      <c r="ABN40" s="284"/>
      <c r="ABO40" s="284"/>
      <c r="ABP40" s="284"/>
      <c r="ABQ40" s="284"/>
      <c r="ABR40" s="284"/>
      <c r="ABS40" s="284"/>
      <c r="ABT40" s="284"/>
      <c r="ABU40" s="284"/>
      <c r="ABV40" s="284"/>
      <c r="ABW40" s="284"/>
      <c r="ABX40" s="284"/>
      <c r="ABY40" s="284"/>
      <c r="ABZ40" s="284"/>
      <c r="ACA40" s="284"/>
      <c r="ACB40" s="284"/>
      <c r="ACC40" s="284"/>
      <c r="ACD40" s="284"/>
      <c r="ACE40" s="284"/>
      <c r="ACF40" s="284"/>
      <c r="ACG40" s="284"/>
      <c r="ACH40" s="284"/>
      <c r="ACI40" s="284"/>
      <c r="ACJ40" s="284"/>
      <c r="ACK40" s="284"/>
      <c r="ACL40" s="284"/>
      <c r="ACM40" s="284"/>
      <c r="ACN40" s="284"/>
      <c r="ACO40" s="284"/>
      <c r="ACP40" s="284"/>
      <c r="ACQ40" s="284"/>
      <c r="ACR40" s="284"/>
      <c r="ACS40" s="284"/>
      <c r="ACT40" s="284"/>
      <c r="ACU40" s="284"/>
      <c r="ACV40" s="284"/>
      <c r="ACW40" s="284"/>
      <c r="ACX40" s="284"/>
      <c r="ACY40" s="284"/>
      <c r="ACZ40" s="284"/>
      <c r="ADA40" s="284"/>
      <c r="ADB40" s="284"/>
      <c r="ADC40" s="284"/>
      <c r="ADD40" s="284"/>
      <c r="ADE40" s="284"/>
      <c r="ADF40" s="284"/>
      <c r="ADG40" s="284"/>
      <c r="ADH40" s="284"/>
      <c r="ADI40" s="284"/>
      <c r="ADJ40" s="284"/>
      <c r="ADK40" s="284"/>
      <c r="ADL40" s="284"/>
      <c r="ADM40" s="284"/>
      <c r="ADN40" s="284"/>
      <c r="ADO40" s="284"/>
      <c r="ADP40" s="284"/>
      <c r="ADQ40" s="284"/>
      <c r="ADR40" s="284"/>
      <c r="ADS40" s="284"/>
      <c r="ADT40" s="284"/>
      <c r="ADU40" s="284"/>
      <c r="ADV40" s="284"/>
      <c r="ADW40" s="284"/>
      <c r="ADX40" s="284"/>
      <c r="ADY40" s="284"/>
      <c r="ADZ40" s="284"/>
      <c r="AEA40" s="284"/>
      <c r="AEB40" s="284"/>
      <c r="AEC40" s="284"/>
      <c r="AED40" s="284"/>
      <c r="AEE40" s="284"/>
      <c r="AEF40" s="284"/>
      <c r="AEG40" s="284"/>
      <c r="AEH40" s="284"/>
      <c r="AEI40" s="284"/>
      <c r="AEJ40" s="284"/>
      <c r="AEK40" s="284"/>
      <c r="AEL40" s="284"/>
      <c r="AEM40" s="284"/>
      <c r="AEN40" s="284"/>
      <c r="AEO40" s="284"/>
      <c r="AEP40" s="284"/>
      <c r="AEQ40" s="284"/>
      <c r="AER40" s="284"/>
      <c r="AES40" s="284"/>
      <c r="AET40" s="284"/>
      <c r="AEU40" s="284"/>
      <c r="AEV40" s="284"/>
      <c r="AEW40" s="284"/>
      <c r="AEX40" s="284"/>
      <c r="AEY40" s="284"/>
      <c r="AEZ40" s="284"/>
      <c r="AFA40" s="284"/>
      <c r="AFB40" s="284"/>
      <c r="AFC40" s="284"/>
      <c r="AFD40" s="284"/>
      <c r="AFE40" s="284"/>
      <c r="AFF40" s="284"/>
      <c r="AFG40" s="284"/>
      <c r="AFH40" s="284"/>
      <c r="AFI40" s="284"/>
      <c r="AFJ40" s="284"/>
      <c r="AFK40" s="284"/>
      <c r="AFL40" s="284"/>
      <c r="AFM40" s="284"/>
      <c r="AFN40" s="284"/>
      <c r="AFO40" s="284"/>
      <c r="AFP40" s="284"/>
      <c r="AFQ40" s="284"/>
      <c r="AFR40" s="284"/>
      <c r="AFS40" s="284"/>
      <c r="AFT40" s="284"/>
      <c r="AFU40" s="284"/>
      <c r="AFV40" s="284"/>
      <c r="AFW40" s="284"/>
      <c r="AFX40" s="284"/>
      <c r="AFY40" s="284"/>
      <c r="AFZ40" s="284"/>
      <c r="AGA40" s="284"/>
      <c r="AGB40" s="284"/>
      <c r="AGC40" s="284"/>
      <c r="AGD40" s="284"/>
      <c r="AGE40" s="284"/>
      <c r="AGF40" s="284"/>
      <c r="AGG40" s="284"/>
      <c r="AGH40" s="284"/>
      <c r="AGI40" s="284"/>
      <c r="AGJ40" s="284"/>
      <c r="AGK40" s="284"/>
      <c r="AGL40" s="284"/>
      <c r="AGM40" s="284"/>
      <c r="AGN40" s="284"/>
      <c r="AGO40" s="284"/>
      <c r="AGP40" s="284"/>
      <c r="AGQ40" s="284"/>
      <c r="AGR40" s="284"/>
      <c r="AGS40" s="284"/>
      <c r="AGT40" s="284"/>
      <c r="AGU40" s="284"/>
      <c r="AGV40" s="284"/>
      <c r="AGW40" s="284"/>
      <c r="AGX40" s="284"/>
      <c r="AGY40" s="284"/>
      <c r="AGZ40" s="284"/>
      <c r="AHA40" s="284"/>
      <c r="AHB40" s="284"/>
      <c r="AHC40" s="284"/>
      <c r="AHD40" s="284"/>
      <c r="AHE40" s="284"/>
      <c r="AHF40" s="284"/>
      <c r="AHG40" s="284"/>
      <c r="AHH40" s="284"/>
      <c r="AHI40" s="284"/>
      <c r="AHJ40" s="284"/>
      <c r="AHK40" s="284"/>
      <c r="AHL40" s="284"/>
      <c r="AHM40" s="284"/>
      <c r="AHN40" s="284"/>
      <c r="AHO40" s="284"/>
      <c r="AHP40" s="284"/>
      <c r="AHQ40" s="284"/>
      <c r="AHR40" s="284"/>
      <c r="AHS40" s="284"/>
      <c r="AHT40" s="284"/>
      <c r="AHU40" s="284"/>
      <c r="AHV40" s="284"/>
      <c r="AHW40" s="284"/>
      <c r="AHX40" s="284"/>
      <c r="AHY40" s="284"/>
      <c r="AHZ40" s="284"/>
      <c r="AIA40" s="284"/>
      <c r="AIB40" s="284"/>
      <c r="AIC40" s="284"/>
      <c r="AID40" s="284"/>
      <c r="AIE40" s="284"/>
      <c r="AIF40" s="284"/>
      <c r="AIG40" s="284"/>
      <c r="AIH40" s="284"/>
      <c r="AII40" s="284"/>
      <c r="AIJ40" s="284"/>
      <c r="AIK40" s="284"/>
      <c r="AIL40" s="284"/>
      <c r="AIM40" s="284"/>
      <c r="AIN40" s="284"/>
      <c r="AIO40" s="284"/>
      <c r="AIP40" s="284"/>
      <c r="AIQ40" s="284"/>
      <c r="AIR40" s="284"/>
      <c r="AIS40" s="284"/>
      <c r="AIT40" s="284"/>
      <c r="AIU40" s="284"/>
      <c r="AIV40" s="284"/>
      <c r="AIW40" s="284"/>
      <c r="AIX40" s="284"/>
      <c r="AIY40" s="284"/>
      <c r="AIZ40" s="284"/>
      <c r="AJA40" s="284"/>
      <c r="AJB40" s="284"/>
      <c r="AJC40" s="284"/>
      <c r="AJD40" s="284"/>
      <c r="AJE40" s="284"/>
      <c r="AJF40" s="284"/>
      <c r="AJG40" s="284"/>
      <c r="AJH40" s="284"/>
      <c r="AJI40" s="284"/>
      <c r="AJJ40" s="284"/>
      <c r="AJK40" s="284"/>
      <c r="AJL40" s="284"/>
      <c r="AJM40" s="284"/>
      <c r="AJN40" s="284"/>
      <c r="AJO40" s="284"/>
      <c r="AJP40" s="284"/>
      <c r="AJQ40" s="284"/>
      <c r="AJR40" s="284"/>
      <c r="AJS40" s="284"/>
      <c r="AJT40" s="284"/>
      <c r="AJU40" s="284"/>
      <c r="AJV40" s="284"/>
      <c r="AJW40" s="284"/>
      <c r="AJX40" s="284"/>
      <c r="AJY40" s="284"/>
      <c r="AJZ40" s="284"/>
      <c r="AKA40" s="284"/>
      <c r="AKB40" s="284"/>
      <c r="AKC40" s="284"/>
      <c r="AKD40" s="284"/>
      <c r="AKE40" s="284"/>
      <c r="AKF40" s="284"/>
      <c r="AKG40" s="284"/>
      <c r="AKH40" s="284"/>
      <c r="AKI40" s="284"/>
      <c r="AKJ40" s="284"/>
      <c r="AKK40" s="284"/>
      <c r="AKL40" s="284"/>
      <c r="AKM40" s="284"/>
      <c r="AKN40" s="284"/>
      <c r="AKO40" s="284"/>
      <c r="AKP40" s="284"/>
      <c r="AKQ40" s="284"/>
      <c r="AKR40" s="284"/>
      <c r="AKS40" s="284"/>
      <c r="AKT40" s="284"/>
      <c r="AKU40" s="284"/>
      <c r="AKV40" s="284"/>
      <c r="AKW40" s="284"/>
      <c r="AKX40" s="284"/>
      <c r="AKY40" s="284"/>
      <c r="AKZ40" s="284"/>
      <c r="ALA40" s="284"/>
      <c r="ALB40" s="284"/>
      <c r="ALC40" s="284"/>
      <c r="ALD40" s="284"/>
      <c r="ALE40" s="284"/>
      <c r="ALF40" s="284"/>
      <c r="ALG40" s="284"/>
      <c r="ALH40" s="284"/>
      <c r="ALI40" s="284"/>
      <c r="ALJ40" s="284"/>
      <c r="ALK40" s="284"/>
      <c r="ALL40" s="284"/>
      <c r="ALM40" s="284"/>
      <c r="ALN40" s="284"/>
      <c r="ALO40" s="284"/>
      <c r="ALP40" s="284"/>
      <c r="ALQ40" s="284"/>
      <c r="ALR40" s="284"/>
      <c r="ALS40" s="284"/>
      <c r="ALT40" s="284"/>
      <c r="ALU40" s="284"/>
      <c r="ALV40" s="284"/>
      <c r="ALW40" s="284"/>
      <c r="ALX40" s="284"/>
      <c r="ALY40" s="284"/>
      <c r="ALZ40" s="284"/>
      <c r="AMA40" s="284"/>
      <c r="AMB40" s="284"/>
      <c r="AMC40" s="284"/>
      <c r="AMD40" s="284"/>
      <c r="AME40" s="284"/>
      <c r="AMF40" s="284"/>
    </row>
    <row r="41" spans="1:1020">
      <c r="A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</row>
    <row r="42" spans="1:1020">
      <c r="A42" s="291"/>
      <c r="J42" s="330"/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</row>
    <row r="43" spans="1:1020">
      <c r="A43" s="291"/>
      <c r="L43" s="291"/>
      <c r="M43" s="291"/>
      <c r="N43" s="291"/>
      <c r="O43" s="291"/>
      <c r="P43" s="291"/>
      <c r="Q43" s="291"/>
      <c r="R43" s="291"/>
      <c r="S43" s="291"/>
      <c r="T43" s="291"/>
      <c r="U43" s="291"/>
      <c r="V43" s="291"/>
    </row>
    <row r="44" spans="1:1020">
      <c r="A44" s="291"/>
      <c r="J44" s="331"/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1"/>
    </row>
    <row r="45" spans="1:1020">
      <c r="A45" s="291"/>
      <c r="I45" s="332"/>
      <c r="L45" s="291"/>
      <c r="M45" s="291"/>
      <c r="N45" s="291"/>
      <c r="O45" s="291"/>
      <c r="P45" s="291"/>
      <c r="Q45" s="291"/>
      <c r="R45" s="291"/>
      <c r="S45" s="291"/>
      <c r="T45" s="291"/>
      <c r="U45" s="291"/>
      <c r="V45" s="291"/>
    </row>
    <row r="46" spans="1:1020">
      <c r="A46" s="291"/>
      <c r="J46" s="332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1"/>
    </row>
    <row r="47" spans="1:1020">
      <c r="A47" s="291"/>
      <c r="I47" s="333"/>
      <c r="L47" s="291"/>
      <c r="M47" s="291"/>
      <c r="N47" s="291"/>
      <c r="O47" s="291"/>
      <c r="P47" s="291"/>
      <c r="Q47" s="291"/>
      <c r="R47" s="291"/>
      <c r="S47" s="291"/>
      <c r="T47" s="291"/>
      <c r="U47" s="291"/>
      <c r="V47" s="291"/>
    </row>
  </sheetData>
  <mergeCells count="16">
    <mergeCell ref="C25:D25"/>
    <mergeCell ref="B36:G36"/>
    <mergeCell ref="B38:G38"/>
    <mergeCell ref="B39:G39"/>
    <mergeCell ref="A14:A38"/>
    <mergeCell ref="B11:F11"/>
    <mergeCell ref="C14:D14"/>
    <mergeCell ref="C15:D15"/>
    <mergeCell ref="B22:G22"/>
    <mergeCell ref="C24:D24"/>
    <mergeCell ref="D1:K1"/>
    <mergeCell ref="D2:K2"/>
    <mergeCell ref="D3:K3"/>
    <mergeCell ref="B9:C9"/>
    <mergeCell ref="D9:K9"/>
    <mergeCell ref="B5:K7"/>
  </mergeCells>
  <pageMargins left="0.78749999999999998" right="0.23611111111111099" top="0.55138888888888904" bottom="0.55138888888888904" header="0.51180555555555496" footer="0.51180555555555496"/>
  <pageSetup paperSize="9" scale="51" firstPageNumber="0" orientation="landscape" useFirstPageNumber="1" horizontalDpi="300" vertic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  <pageSetUpPr fitToPage="1"/>
  </sheetPr>
  <dimension ref="B1:S44"/>
  <sheetViews>
    <sheetView view="pageBreakPreview" zoomScale="85" zoomScaleNormal="55" zoomScaleSheetLayoutView="85" workbookViewId="0">
      <selection activeCell="A48" sqref="A48"/>
    </sheetView>
  </sheetViews>
  <sheetFormatPr defaultColWidth="9.140625" defaultRowHeight="15"/>
  <cols>
    <col min="1" max="1" width="3" customWidth="1"/>
    <col min="2" max="2" width="6.5703125" customWidth="1"/>
    <col min="3" max="3" width="11.5703125" customWidth="1"/>
    <col min="4" max="4" width="63.5703125" customWidth="1"/>
    <col min="5" max="5" width="22" customWidth="1"/>
    <col min="6" max="8" width="17.85546875" customWidth="1"/>
    <col min="9" max="9" width="19.7109375" customWidth="1"/>
    <col min="10" max="11" width="17.85546875" customWidth="1"/>
    <col min="12" max="12" width="19.7109375" customWidth="1"/>
    <col min="13" max="13" width="17.85546875" customWidth="1"/>
    <col min="14" max="14" width="17" customWidth="1"/>
    <col min="15" max="15" width="23.5703125" customWidth="1"/>
    <col min="16" max="16" width="17" customWidth="1"/>
    <col min="17" max="17" width="16.85546875" customWidth="1"/>
    <col min="18" max="18" width="23.42578125" customWidth="1"/>
    <col min="19" max="19" width="17.28515625" customWidth="1"/>
  </cols>
  <sheetData>
    <row r="1" spans="2:19" ht="46.5" customHeight="1">
      <c r="B1" s="520" t="s">
        <v>519</v>
      </c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521"/>
      <c r="O1" s="521"/>
      <c r="P1" s="522"/>
      <c r="Q1" s="523"/>
      <c r="R1" s="524"/>
      <c r="S1" s="247"/>
    </row>
    <row r="2" spans="2:19" ht="15.75">
      <c r="B2" s="525"/>
      <c r="C2" s="525"/>
      <c r="D2" s="525"/>
      <c r="E2" s="525"/>
      <c r="F2" s="525"/>
      <c r="G2" s="525"/>
      <c r="H2" s="525"/>
      <c r="I2" s="525"/>
      <c r="J2" s="525"/>
      <c r="K2" s="525"/>
      <c r="L2" s="525"/>
      <c r="M2" s="525"/>
      <c r="N2" s="525"/>
      <c r="O2" s="525"/>
      <c r="P2" s="525"/>
      <c r="Q2" s="525"/>
      <c r="R2" s="525"/>
      <c r="S2" s="247"/>
    </row>
    <row r="3" spans="2:19" ht="25.5" customHeight="1">
      <c r="B3" s="741" t="s">
        <v>526</v>
      </c>
      <c r="C3" s="526"/>
      <c r="D3" s="526"/>
      <c r="E3" s="526"/>
      <c r="F3" s="526"/>
      <c r="G3" s="526"/>
      <c r="H3" s="526"/>
      <c r="I3" s="526"/>
      <c r="J3" s="526"/>
      <c r="K3" s="526"/>
      <c r="L3" s="526"/>
      <c r="M3" s="526"/>
      <c r="N3" s="526"/>
      <c r="O3" s="526"/>
      <c r="P3" s="526"/>
      <c r="Q3" s="526"/>
      <c r="R3" s="527"/>
      <c r="S3" s="247"/>
    </row>
    <row r="4" spans="2:19" ht="15.75">
      <c r="B4" s="223"/>
      <c r="C4" s="223"/>
      <c r="D4" s="223"/>
      <c r="E4" s="223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47"/>
    </row>
    <row r="5" spans="2:19" ht="20.100000000000001" customHeight="1">
      <c r="B5" s="225">
        <f>'PLANILHA GLOBAL'!B15</f>
        <v>1</v>
      </c>
      <c r="C5" s="528" t="s">
        <v>29</v>
      </c>
      <c r="D5" s="528"/>
      <c r="E5" s="226" t="s">
        <v>84</v>
      </c>
      <c r="F5" s="227" t="s">
        <v>85</v>
      </c>
      <c r="G5" s="228" t="s">
        <v>86</v>
      </c>
      <c r="H5" s="227" t="s">
        <v>87</v>
      </c>
      <c r="I5" s="227" t="s">
        <v>88</v>
      </c>
      <c r="J5" s="227" t="s">
        <v>89</v>
      </c>
      <c r="K5" s="227" t="s">
        <v>90</v>
      </c>
      <c r="L5" s="227" t="s">
        <v>91</v>
      </c>
      <c r="M5" s="227" t="s">
        <v>92</v>
      </c>
      <c r="N5" s="227" t="s">
        <v>93</v>
      </c>
      <c r="O5" s="227" t="s">
        <v>94</v>
      </c>
      <c r="P5" s="227" t="s">
        <v>95</v>
      </c>
      <c r="Q5" s="227" t="s">
        <v>96</v>
      </c>
      <c r="R5" s="253" t="s">
        <v>97</v>
      </c>
      <c r="S5" s="247"/>
    </row>
    <row r="6" spans="2:19" s="220" customFormat="1" ht="29.25" customHeight="1">
      <c r="B6" s="533" t="str">
        <f>'PLANILHA GLOBAL'!B16</f>
        <v>1.1</v>
      </c>
      <c r="C6" s="518" t="str">
        <f>'PLANILHA GLOBAL'!C16</f>
        <v>CPU-01</v>
      </c>
      <c r="D6" s="538" t="str">
        <f>'PLANILHA GLOBAL'!D16</f>
        <v>ADMINISTRAÇÃO LOCAL</v>
      </c>
      <c r="E6" s="229">
        <f>'PLANILHA GLOBAL'!L16</f>
        <v>0</v>
      </c>
      <c r="F6" s="230">
        <f>ROUND($E$6*F7,2)</f>
        <v>0</v>
      </c>
      <c r="G6" s="230">
        <f t="shared" ref="G6:Q6" si="0">ROUND($E$6*G7,2)</f>
        <v>0</v>
      </c>
      <c r="H6" s="230">
        <f t="shared" si="0"/>
        <v>0</v>
      </c>
      <c r="I6" s="230">
        <f t="shared" si="0"/>
        <v>0</v>
      </c>
      <c r="J6" s="230">
        <f t="shared" si="0"/>
        <v>0</v>
      </c>
      <c r="K6" s="230">
        <f t="shared" si="0"/>
        <v>0</v>
      </c>
      <c r="L6" s="230">
        <f t="shared" si="0"/>
        <v>0</v>
      </c>
      <c r="M6" s="230">
        <f t="shared" si="0"/>
        <v>0</v>
      </c>
      <c r="N6" s="230">
        <f t="shared" si="0"/>
        <v>0</v>
      </c>
      <c r="O6" s="230">
        <f t="shared" si="0"/>
        <v>0</v>
      </c>
      <c r="P6" s="230">
        <f t="shared" si="0"/>
        <v>0</v>
      </c>
      <c r="Q6" s="230">
        <f t="shared" si="0"/>
        <v>0</v>
      </c>
      <c r="R6" s="254">
        <f t="shared" ref="R6:R17" si="1">SUM(F6:Q6)</f>
        <v>0</v>
      </c>
      <c r="S6" s="255">
        <f>E6-R6</f>
        <v>0</v>
      </c>
    </row>
    <row r="7" spans="2:19" s="220" customFormat="1" ht="29.25" customHeight="1">
      <c r="B7" s="534"/>
      <c r="C7" s="519"/>
      <c r="D7" s="539"/>
      <c r="E7" s="231" t="s">
        <v>98</v>
      </c>
      <c r="F7" s="431">
        <v>2.0880263448194918E-2</v>
      </c>
      <c r="G7" s="431">
        <v>2.5564289842661216E-2</v>
      </c>
      <c r="H7" s="431">
        <v>0.14497497395757369</v>
      </c>
      <c r="I7" s="431">
        <v>2.5872239664083307E-2</v>
      </c>
      <c r="J7" s="431">
        <v>0.14497497395757369</v>
      </c>
      <c r="K7" s="431">
        <v>4.6752503112278222E-2</v>
      </c>
      <c r="L7" s="431">
        <v>0.16344430154488362</v>
      </c>
      <c r="M7" s="431">
        <v>3.1025469403797856E-2</v>
      </c>
      <c r="N7" s="431">
        <v>0.15012820369728824</v>
      </c>
      <c r="O7" s="431">
        <v>5.1905726599246846E-2</v>
      </c>
      <c r="P7" s="431">
        <v>0.16859753336884684</v>
      </c>
      <c r="Q7" s="431">
        <v>2.587952140357138E-2</v>
      </c>
      <c r="R7" s="256">
        <f t="shared" si="1"/>
        <v>0.99999999999999989</v>
      </c>
    </row>
    <row r="8" spans="2:19" s="220" customFormat="1" ht="29.25" customHeight="1">
      <c r="B8" s="516" t="str">
        <f>'PLANILHA GLOBAL'!B17</f>
        <v>1.2</v>
      </c>
      <c r="C8" s="529" t="str">
        <f>'PLANILHA GLOBAL'!C17</f>
        <v>CPU-02</v>
      </c>
      <c r="D8" s="536" t="str">
        <f>'PLANILHA GLOBAL'!D17</f>
        <v>PLACA DE OBRA EM CHAPA DE AÇO GALVANIZADO (1,60 M * 3,20 M)</v>
      </c>
      <c r="E8" s="233">
        <f>'PLANILHA GLOBAL'!L17</f>
        <v>0</v>
      </c>
      <c r="F8" s="234">
        <f>$E$8*F9</f>
        <v>0</v>
      </c>
      <c r="G8" s="234">
        <f t="shared" ref="G8:Q8" si="2">$E$8*G9</f>
        <v>0</v>
      </c>
      <c r="H8" s="234">
        <f t="shared" si="2"/>
        <v>0</v>
      </c>
      <c r="I8" s="234">
        <f t="shared" si="2"/>
        <v>0</v>
      </c>
      <c r="J8" s="234">
        <f t="shared" si="2"/>
        <v>0</v>
      </c>
      <c r="K8" s="234">
        <f t="shared" si="2"/>
        <v>0</v>
      </c>
      <c r="L8" s="234">
        <f t="shared" si="2"/>
        <v>0</v>
      </c>
      <c r="M8" s="234">
        <f t="shared" si="2"/>
        <v>0</v>
      </c>
      <c r="N8" s="234">
        <f t="shared" si="2"/>
        <v>0</v>
      </c>
      <c r="O8" s="234">
        <f t="shared" si="2"/>
        <v>0</v>
      </c>
      <c r="P8" s="234">
        <f t="shared" si="2"/>
        <v>0</v>
      </c>
      <c r="Q8" s="234">
        <f t="shared" si="2"/>
        <v>0</v>
      </c>
      <c r="R8" s="257">
        <f t="shared" si="1"/>
        <v>0</v>
      </c>
      <c r="S8" s="255">
        <f>E8-R8</f>
        <v>0</v>
      </c>
    </row>
    <row r="9" spans="2:19" s="220" customFormat="1" ht="29.25" customHeight="1">
      <c r="B9" s="535"/>
      <c r="C9" s="530"/>
      <c r="D9" s="540"/>
      <c r="E9" s="235" t="s">
        <v>98</v>
      </c>
      <c r="F9" s="236">
        <v>0</v>
      </c>
      <c r="G9" s="236">
        <f t="shared" ref="G9" si="3">1/10</f>
        <v>0.1</v>
      </c>
      <c r="H9" s="236">
        <f t="shared" ref="H9:P9" si="4">1/10</f>
        <v>0.1</v>
      </c>
      <c r="I9" s="236">
        <f t="shared" si="4"/>
        <v>0.1</v>
      </c>
      <c r="J9" s="236">
        <f t="shared" si="4"/>
        <v>0.1</v>
      </c>
      <c r="K9" s="236">
        <f t="shared" si="4"/>
        <v>0.1</v>
      </c>
      <c r="L9" s="236">
        <f t="shared" si="4"/>
        <v>0.1</v>
      </c>
      <c r="M9" s="236">
        <f t="shared" si="4"/>
        <v>0.1</v>
      </c>
      <c r="N9" s="236">
        <f t="shared" si="4"/>
        <v>0.1</v>
      </c>
      <c r="O9" s="236">
        <f t="shared" si="4"/>
        <v>0.1</v>
      </c>
      <c r="P9" s="236">
        <f t="shared" si="4"/>
        <v>0.1</v>
      </c>
      <c r="Q9" s="236">
        <v>0</v>
      </c>
      <c r="R9" s="258">
        <f t="shared" si="1"/>
        <v>0.99999999999999989</v>
      </c>
    </row>
    <row r="10" spans="2:19" s="220" customFormat="1" ht="30.75" customHeight="1">
      <c r="B10" s="533" t="str">
        <f>'PLANILHA GLOBAL'!B18</f>
        <v>1.3</v>
      </c>
      <c r="C10" s="518" t="str">
        <f>'PLANILHA GLOBAL'!C18</f>
        <v>SICRO 5914639</v>
      </c>
      <c r="D10" s="538" t="str">
        <f>'PLANILHA GLOBAL'!D18</f>
        <v>TRANSPORTE DE EQUIPAMENTOS EM RODOVIA COM REVESTIMENTO PRIMÁRIO - MOBILIZAÇÃO (70%)</v>
      </c>
      <c r="E10" s="229">
        <f>'PLANILHA GLOBAL'!L18</f>
        <v>0</v>
      </c>
      <c r="F10" s="230">
        <f>$E$10*F11</f>
        <v>0</v>
      </c>
      <c r="G10" s="230">
        <f t="shared" ref="G10:Q10" si="5">$E$10*G11</f>
        <v>0</v>
      </c>
      <c r="H10" s="230">
        <f t="shared" si="5"/>
        <v>0</v>
      </c>
      <c r="I10" s="230">
        <f t="shared" si="5"/>
        <v>0</v>
      </c>
      <c r="J10" s="230">
        <f t="shared" si="5"/>
        <v>0</v>
      </c>
      <c r="K10" s="230">
        <f t="shared" si="5"/>
        <v>0</v>
      </c>
      <c r="L10" s="230">
        <f t="shared" si="5"/>
        <v>0</v>
      </c>
      <c r="M10" s="230">
        <f t="shared" si="5"/>
        <v>0</v>
      </c>
      <c r="N10" s="230">
        <f t="shared" si="5"/>
        <v>0</v>
      </c>
      <c r="O10" s="230">
        <f t="shared" si="5"/>
        <v>0</v>
      </c>
      <c r="P10" s="230">
        <f t="shared" si="5"/>
        <v>0</v>
      </c>
      <c r="Q10" s="230">
        <f t="shared" si="5"/>
        <v>0</v>
      </c>
      <c r="R10" s="254">
        <f t="shared" si="1"/>
        <v>0</v>
      </c>
      <c r="S10" s="255">
        <f>E10-R10</f>
        <v>0</v>
      </c>
    </row>
    <row r="11" spans="2:19" s="220" customFormat="1" ht="30.75" customHeight="1">
      <c r="B11" s="534"/>
      <c r="C11" s="519"/>
      <c r="D11" s="539"/>
      <c r="E11" s="231" t="s">
        <v>98</v>
      </c>
      <c r="F11" s="232">
        <v>0</v>
      </c>
      <c r="G11" s="232">
        <v>0.2</v>
      </c>
      <c r="H11" s="232">
        <v>0</v>
      </c>
      <c r="I11" s="232">
        <v>0.2</v>
      </c>
      <c r="J11" s="232">
        <v>0</v>
      </c>
      <c r="K11" s="232">
        <v>0.2</v>
      </c>
      <c r="L11" s="232">
        <v>0</v>
      </c>
      <c r="M11" s="232">
        <v>0.2</v>
      </c>
      <c r="N11" s="232">
        <v>0</v>
      </c>
      <c r="O11" s="232">
        <v>0.2</v>
      </c>
      <c r="P11" s="232">
        <v>0</v>
      </c>
      <c r="Q11" s="232">
        <v>0</v>
      </c>
      <c r="R11" s="256">
        <f t="shared" si="1"/>
        <v>1</v>
      </c>
    </row>
    <row r="12" spans="2:19" s="220" customFormat="1" ht="32.25" customHeight="1">
      <c r="B12" s="516" t="str">
        <f>'PLANILHA GLOBAL'!B19</f>
        <v>1.4</v>
      </c>
      <c r="C12" s="529" t="str">
        <f>'PLANILHA GLOBAL'!C19</f>
        <v>SICRO 5914640</v>
      </c>
      <c r="D12" s="536" t="str">
        <f>'PLANILHA GLOBAL'!D19</f>
        <v>TRANSPORTE DE EQUIPAMENTOS EM RODOVIA PAVIMENTADA - MOBILIZAÇÃO (30%)</v>
      </c>
      <c r="E12" s="233">
        <f>'PLANILHA GLOBAL'!L19</f>
        <v>0</v>
      </c>
      <c r="F12" s="234">
        <f>ROUND($E$12*F13,2)</f>
        <v>0</v>
      </c>
      <c r="G12" s="234">
        <f t="shared" ref="G12:Q12" si="6">ROUND($E$12*G13,2)</f>
        <v>0</v>
      </c>
      <c r="H12" s="234">
        <f t="shared" si="6"/>
        <v>0</v>
      </c>
      <c r="I12" s="234">
        <f t="shared" si="6"/>
        <v>0</v>
      </c>
      <c r="J12" s="234">
        <f t="shared" si="6"/>
        <v>0</v>
      </c>
      <c r="K12" s="234">
        <f t="shared" si="6"/>
        <v>0</v>
      </c>
      <c r="L12" s="234">
        <f t="shared" si="6"/>
        <v>0</v>
      </c>
      <c r="M12" s="234">
        <f t="shared" si="6"/>
        <v>0</v>
      </c>
      <c r="N12" s="234">
        <f t="shared" si="6"/>
        <v>0</v>
      </c>
      <c r="O12" s="234">
        <f t="shared" si="6"/>
        <v>0</v>
      </c>
      <c r="P12" s="234">
        <f t="shared" si="6"/>
        <v>0</v>
      </c>
      <c r="Q12" s="234">
        <f t="shared" si="6"/>
        <v>0</v>
      </c>
      <c r="R12" s="257">
        <f t="shared" si="1"/>
        <v>0</v>
      </c>
      <c r="S12" s="255">
        <f>E12-R12</f>
        <v>0</v>
      </c>
    </row>
    <row r="13" spans="2:19" s="220" customFormat="1" ht="32.25" customHeight="1">
      <c r="B13" s="535"/>
      <c r="C13" s="530"/>
      <c r="D13" s="540"/>
      <c r="E13" s="235" t="s">
        <v>98</v>
      </c>
      <c r="F13" s="236">
        <v>0</v>
      </c>
      <c r="G13" s="236">
        <v>0.2</v>
      </c>
      <c r="H13" s="236">
        <v>0</v>
      </c>
      <c r="I13" s="236">
        <v>0.2</v>
      </c>
      <c r="J13" s="236">
        <v>0</v>
      </c>
      <c r="K13" s="236">
        <v>0.2</v>
      </c>
      <c r="L13" s="236">
        <v>0</v>
      </c>
      <c r="M13" s="236">
        <v>0.2</v>
      </c>
      <c r="N13" s="236">
        <v>0</v>
      </c>
      <c r="O13" s="236">
        <v>0.1999995</v>
      </c>
      <c r="P13" s="236">
        <v>0</v>
      </c>
      <c r="Q13" s="236">
        <v>0</v>
      </c>
      <c r="R13" s="258">
        <f t="shared" si="1"/>
        <v>0.99999950000000004</v>
      </c>
    </row>
    <row r="14" spans="2:19" s="220" customFormat="1" ht="28.5" customHeight="1">
      <c r="B14" s="533" t="str">
        <f>'PLANILHA GLOBAL'!B20</f>
        <v>1.5</v>
      </c>
      <c r="C14" s="518" t="str">
        <f>'PLANILHA GLOBAL'!C20</f>
        <v>SICRO 5914639</v>
      </c>
      <c r="D14" s="538" t="str">
        <f>'PLANILHA GLOBAL'!D20</f>
        <v>TRANSPORTE DE EQUIPAMENTOS EM RODOVIA COM REVESTIMENTO PRIMÁRIO - DESMOBILIZAÇÃO (70%)</v>
      </c>
      <c r="E14" s="229">
        <f>'PLANILHA GLOBAL'!L20</f>
        <v>0</v>
      </c>
      <c r="F14" s="230">
        <f>ROUND($E$14*F15,2)</f>
        <v>0</v>
      </c>
      <c r="G14" s="230">
        <f t="shared" ref="G14:Q14" si="7">ROUND($E$14*G15,2)</f>
        <v>0</v>
      </c>
      <c r="H14" s="230">
        <f t="shared" si="7"/>
        <v>0</v>
      </c>
      <c r="I14" s="230">
        <f t="shared" si="7"/>
        <v>0</v>
      </c>
      <c r="J14" s="230">
        <f t="shared" si="7"/>
        <v>0</v>
      </c>
      <c r="K14" s="230">
        <f t="shared" si="7"/>
        <v>0</v>
      </c>
      <c r="L14" s="230">
        <f t="shared" si="7"/>
        <v>0</v>
      </c>
      <c r="M14" s="230">
        <f t="shared" si="7"/>
        <v>0</v>
      </c>
      <c r="N14" s="230">
        <f t="shared" si="7"/>
        <v>0</v>
      </c>
      <c r="O14" s="230">
        <f t="shared" si="7"/>
        <v>0</v>
      </c>
      <c r="P14" s="230">
        <f t="shared" si="7"/>
        <v>0</v>
      </c>
      <c r="Q14" s="230">
        <f t="shared" si="7"/>
        <v>0</v>
      </c>
      <c r="R14" s="254">
        <f t="shared" si="1"/>
        <v>0</v>
      </c>
      <c r="S14" s="255">
        <f>E14-R14</f>
        <v>0</v>
      </c>
    </row>
    <row r="15" spans="2:19" s="220" customFormat="1" ht="28.5" customHeight="1">
      <c r="B15" s="534"/>
      <c r="C15" s="519"/>
      <c r="D15" s="539"/>
      <c r="E15" s="231" t="s">
        <v>98</v>
      </c>
      <c r="F15" s="232">
        <v>0</v>
      </c>
      <c r="G15" s="232">
        <v>0</v>
      </c>
      <c r="H15" s="232">
        <v>0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32">
        <v>0</v>
      </c>
      <c r="P15" s="232">
        <v>0</v>
      </c>
      <c r="Q15" s="232">
        <v>1</v>
      </c>
      <c r="R15" s="256">
        <f t="shared" si="1"/>
        <v>1</v>
      </c>
    </row>
    <row r="16" spans="2:19" s="220" customFormat="1" ht="28.5" customHeight="1">
      <c r="B16" s="516" t="str">
        <f>'PLANILHA GLOBAL'!B21</f>
        <v>1.6</v>
      </c>
      <c r="C16" s="529" t="str">
        <f>'PLANILHA GLOBAL'!C21</f>
        <v>SICRO 5914640</v>
      </c>
      <c r="D16" s="536" t="str">
        <f>'PLANILHA GLOBAL'!D21</f>
        <v>TRANSPORTE DE EQUIPAMENTOS EM RODOVIA PAVIMENTADA - DESMOBILIZAÇÃO (30%)</v>
      </c>
      <c r="E16" s="233">
        <f>'PLANILHA GLOBAL'!L21</f>
        <v>0</v>
      </c>
      <c r="F16" s="234">
        <f>ROUND($E$16*F17,2)</f>
        <v>0</v>
      </c>
      <c r="G16" s="234">
        <f t="shared" ref="G16:Q16" si="8">ROUND($E$16*G17,2)</f>
        <v>0</v>
      </c>
      <c r="H16" s="234">
        <f t="shared" si="8"/>
        <v>0</v>
      </c>
      <c r="I16" s="234">
        <f t="shared" si="8"/>
        <v>0</v>
      </c>
      <c r="J16" s="234">
        <f t="shared" si="8"/>
        <v>0</v>
      </c>
      <c r="K16" s="234">
        <f t="shared" si="8"/>
        <v>0</v>
      </c>
      <c r="L16" s="234">
        <f t="shared" si="8"/>
        <v>0</v>
      </c>
      <c r="M16" s="234">
        <f t="shared" si="8"/>
        <v>0</v>
      </c>
      <c r="N16" s="234">
        <f t="shared" si="8"/>
        <v>0</v>
      </c>
      <c r="O16" s="234">
        <f t="shared" si="8"/>
        <v>0</v>
      </c>
      <c r="P16" s="234">
        <f t="shared" si="8"/>
        <v>0</v>
      </c>
      <c r="Q16" s="234">
        <f t="shared" si="8"/>
        <v>0</v>
      </c>
      <c r="R16" s="257">
        <f t="shared" si="1"/>
        <v>0</v>
      </c>
      <c r="S16" s="255">
        <f>E16-R16</f>
        <v>0</v>
      </c>
    </row>
    <row r="17" spans="2:19" s="220" customFormat="1" ht="28.5" customHeight="1">
      <c r="B17" s="517"/>
      <c r="C17" s="531"/>
      <c r="D17" s="537"/>
      <c r="E17" s="237" t="s">
        <v>98</v>
      </c>
      <c r="F17" s="238">
        <v>0</v>
      </c>
      <c r="G17" s="238">
        <v>0</v>
      </c>
      <c r="H17" s="238">
        <v>0</v>
      </c>
      <c r="I17" s="238">
        <v>0</v>
      </c>
      <c r="J17" s="238">
        <v>0</v>
      </c>
      <c r="K17" s="238">
        <v>0</v>
      </c>
      <c r="L17" s="238">
        <v>0</v>
      </c>
      <c r="M17" s="238">
        <v>0</v>
      </c>
      <c r="N17" s="238">
        <v>0</v>
      </c>
      <c r="O17" s="238">
        <v>0</v>
      </c>
      <c r="P17" s="238">
        <v>0</v>
      </c>
      <c r="Q17" s="238">
        <v>1</v>
      </c>
      <c r="R17" s="259">
        <f t="shared" si="1"/>
        <v>1</v>
      </c>
    </row>
    <row r="18" spans="2:19" s="220" customFormat="1" ht="20.100000000000001" customHeight="1">
      <c r="B18" s="543"/>
      <c r="C18" s="544"/>
      <c r="D18" s="545"/>
      <c r="E18" s="239"/>
      <c r="F18" s="240"/>
      <c r="G18" s="239"/>
      <c r="H18" s="239"/>
      <c r="I18" s="239"/>
      <c r="J18" s="239"/>
      <c r="K18" s="239"/>
      <c r="L18" s="239"/>
      <c r="M18" s="239"/>
      <c r="N18" s="239"/>
      <c r="O18" s="239"/>
      <c r="P18" s="240"/>
      <c r="Q18" s="260" t="s">
        <v>99</v>
      </c>
      <c r="R18" s="261">
        <f>ROUND(R6+R8+R10+R12+R14+R16,2)</f>
        <v>0</v>
      </c>
    </row>
    <row r="19" spans="2:19" s="221" customFormat="1" ht="57" customHeight="1">
      <c r="B19" s="225">
        <v>2</v>
      </c>
      <c r="C19" s="528" t="s">
        <v>43</v>
      </c>
      <c r="D19" s="528"/>
      <c r="E19" s="226" t="s">
        <v>84</v>
      </c>
      <c r="F19" s="227" t="s">
        <v>85</v>
      </c>
      <c r="G19" s="228" t="s">
        <v>86</v>
      </c>
      <c r="H19" s="227" t="s">
        <v>87</v>
      </c>
      <c r="I19" s="227" t="s">
        <v>88</v>
      </c>
      <c r="J19" s="227" t="s">
        <v>89</v>
      </c>
      <c r="K19" s="227" t="s">
        <v>90</v>
      </c>
      <c r="L19" s="227" t="s">
        <v>91</v>
      </c>
      <c r="M19" s="227" t="s">
        <v>92</v>
      </c>
      <c r="N19" s="227" t="s">
        <v>93</v>
      </c>
      <c r="O19" s="227" t="s">
        <v>94</v>
      </c>
      <c r="P19" s="227" t="s">
        <v>95</v>
      </c>
      <c r="Q19" s="227" t="s">
        <v>96</v>
      </c>
      <c r="R19" s="253" t="s">
        <v>97</v>
      </c>
    </row>
    <row r="20" spans="2:19" s="220" customFormat="1" ht="45.75" customHeight="1">
      <c r="B20" s="533" t="str">
        <f>'PLANILHA GLOBAL'!B26</f>
        <v>2.1</v>
      </c>
      <c r="C20" s="518" t="str">
        <f>'PLANILHA GLOBAL'!C26</f>
        <v>SICRO 5501706</v>
      </c>
      <c r="D20" s="538" t="str">
        <f>'PLANILHA GLOBAL'!D26</f>
        <v>ESCAVAÇÃO MECÂNICA COM RETROESCAVADEIRA EM MATERIAL DE 1ª CATEGORIA PARA CONSTRUÇÃO DE DISPOSITIVO DE CONTROLE DE ENXURRADA (BACIA DE CAPTAÇÃO DE ÁGUAS PLUVIAIS)</v>
      </c>
      <c r="E20" s="229">
        <f>'PLANILHA GLOBAL'!L26</f>
        <v>0</v>
      </c>
      <c r="F20" s="230">
        <f>ROUND($E$20*F21,2)</f>
        <v>0</v>
      </c>
      <c r="G20" s="230">
        <f t="shared" ref="G20:Q20" si="9">ROUND($E$20*G21,2)</f>
        <v>0</v>
      </c>
      <c r="H20" s="230">
        <f t="shared" si="9"/>
        <v>0</v>
      </c>
      <c r="I20" s="230">
        <f t="shared" si="9"/>
        <v>0</v>
      </c>
      <c r="J20" s="230">
        <f t="shared" si="9"/>
        <v>0</v>
      </c>
      <c r="K20" s="230">
        <f t="shared" si="9"/>
        <v>0</v>
      </c>
      <c r="L20" s="230">
        <f t="shared" si="9"/>
        <v>0</v>
      </c>
      <c r="M20" s="230">
        <f t="shared" si="9"/>
        <v>0</v>
      </c>
      <c r="N20" s="230">
        <f t="shared" si="9"/>
        <v>0</v>
      </c>
      <c r="O20" s="230">
        <f t="shared" si="9"/>
        <v>0</v>
      </c>
      <c r="P20" s="230">
        <f t="shared" si="9"/>
        <v>0</v>
      </c>
      <c r="Q20" s="230">
        <f t="shared" si="9"/>
        <v>0</v>
      </c>
      <c r="R20" s="254">
        <f t="shared" ref="R20:R29" si="10">SUM(F20:Q20)</f>
        <v>0</v>
      </c>
      <c r="S20" s="262">
        <f>E20-R20</f>
        <v>0</v>
      </c>
    </row>
    <row r="21" spans="2:19" s="220" customFormat="1" ht="45.75" customHeight="1">
      <c r="B21" s="534"/>
      <c r="C21" s="519"/>
      <c r="D21" s="539"/>
      <c r="E21" s="231" t="s">
        <v>98</v>
      </c>
      <c r="F21" s="232">
        <v>0</v>
      </c>
      <c r="G21" s="232">
        <v>0</v>
      </c>
      <c r="H21" s="232">
        <v>0</v>
      </c>
      <c r="I21" s="232">
        <v>0.25</v>
      </c>
      <c r="J21" s="232">
        <v>0</v>
      </c>
      <c r="K21" s="232">
        <v>0.25</v>
      </c>
      <c r="L21" s="232">
        <v>0</v>
      </c>
      <c r="M21" s="232">
        <v>0.25</v>
      </c>
      <c r="N21" s="232">
        <v>0</v>
      </c>
      <c r="O21" s="232">
        <v>0.24999999000000001</v>
      </c>
      <c r="P21" s="232">
        <v>0</v>
      </c>
      <c r="Q21" s="232">
        <v>0</v>
      </c>
      <c r="R21" s="256">
        <f t="shared" si="10"/>
        <v>0.99999999000000006</v>
      </c>
    </row>
    <row r="22" spans="2:19" s="220" customFormat="1" ht="45.75" customHeight="1">
      <c r="B22" s="516" t="str">
        <f>'PLANILHA GLOBAL'!B27</f>
        <v>2.2</v>
      </c>
      <c r="C22" s="529" t="str">
        <f>'PLANILHA GLOBAL'!C27</f>
        <v>SICRO 3713608</v>
      </c>
      <c r="D22" s="536" t="str">
        <f>'PLANILHA GLOBAL'!D27</f>
        <v>CERCA COM 4 FIOS DE ARAME FARPADO E MOURÃO DE MADEIRA A CADA 2,5 M E ESTICADOR A CADA 50 M</v>
      </c>
      <c r="E22" s="233">
        <f>'PLANILHA GLOBAL'!L27</f>
        <v>0</v>
      </c>
      <c r="F22" s="234">
        <f>ROUND($E$22*F23,2)</f>
        <v>0</v>
      </c>
      <c r="G22" s="234">
        <f t="shared" ref="G22:Q22" si="11">ROUND($E$22*G23,2)</f>
        <v>0</v>
      </c>
      <c r="H22" s="234">
        <f t="shared" si="11"/>
        <v>0</v>
      </c>
      <c r="I22" s="234">
        <f t="shared" si="11"/>
        <v>0</v>
      </c>
      <c r="J22" s="234">
        <f t="shared" si="11"/>
        <v>0</v>
      </c>
      <c r="K22" s="234">
        <f t="shared" si="11"/>
        <v>0</v>
      </c>
      <c r="L22" s="234">
        <f t="shared" si="11"/>
        <v>0</v>
      </c>
      <c r="M22" s="234">
        <f t="shared" si="11"/>
        <v>0</v>
      </c>
      <c r="N22" s="234">
        <f t="shared" si="11"/>
        <v>0</v>
      </c>
      <c r="O22" s="234">
        <f t="shared" si="11"/>
        <v>0</v>
      </c>
      <c r="P22" s="234">
        <f t="shared" si="11"/>
        <v>0</v>
      </c>
      <c r="Q22" s="234">
        <f t="shared" si="11"/>
        <v>0</v>
      </c>
      <c r="R22" s="257">
        <f t="shared" si="10"/>
        <v>0</v>
      </c>
      <c r="S22" s="255">
        <f>E22-R22</f>
        <v>0</v>
      </c>
    </row>
    <row r="23" spans="2:19" s="220" customFormat="1" ht="45.75" customHeight="1">
      <c r="B23" s="535"/>
      <c r="C23" s="530"/>
      <c r="D23" s="540"/>
      <c r="E23" s="235" t="s">
        <v>98</v>
      </c>
      <c r="F23" s="236">
        <v>0</v>
      </c>
      <c r="G23" s="236">
        <v>0</v>
      </c>
      <c r="H23" s="236">
        <v>0</v>
      </c>
      <c r="I23" s="236">
        <v>0</v>
      </c>
      <c r="J23" s="236">
        <v>0</v>
      </c>
      <c r="K23" s="236">
        <v>0</v>
      </c>
      <c r="L23" s="236">
        <v>0.5</v>
      </c>
      <c r="M23" s="236">
        <v>0</v>
      </c>
      <c r="N23" s="236">
        <v>0</v>
      </c>
      <c r="O23" s="236">
        <v>0</v>
      </c>
      <c r="P23" s="236">
        <v>0.5</v>
      </c>
      <c r="Q23" s="236">
        <v>0</v>
      </c>
      <c r="R23" s="258">
        <f t="shared" si="10"/>
        <v>1</v>
      </c>
    </row>
    <row r="24" spans="2:19" s="220" customFormat="1" ht="45.75" customHeight="1">
      <c r="B24" s="533" t="str">
        <f>'PLANILHA GLOBAL'!B28</f>
        <v>2.3</v>
      </c>
      <c r="C24" s="518" t="str">
        <f>'PLANILHA GLOBAL'!C28</f>
        <v>SICRO 4011209</v>
      </c>
      <c r="D24" s="538" t="str">
        <f>'PLANILHA GLOBAL'!D28</f>
        <v>REGULARIZAÇÃO DE SUBLEITO</v>
      </c>
      <c r="E24" s="229">
        <f>'PLANILHA GLOBAL'!L28</f>
        <v>0</v>
      </c>
      <c r="F24" s="230">
        <f>ROUND($E$24*F25,2)</f>
        <v>0</v>
      </c>
      <c r="G24" s="230">
        <f t="shared" ref="G24:Q24" si="12">ROUND($E$24*G25,2)</f>
        <v>0</v>
      </c>
      <c r="H24" s="230">
        <f t="shared" si="12"/>
        <v>0</v>
      </c>
      <c r="I24" s="230">
        <f t="shared" si="12"/>
        <v>0</v>
      </c>
      <c r="J24" s="230">
        <f t="shared" si="12"/>
        <v>0</v>
      </c>
      <c r="K24" s="230">
        <f t="shared" si="12"/>
        <v>0</v>
      </c>
      <c r="L24" s="230">
        <f t="shared" si="12"/>
        <v>0</v>
      </c>
      <c r="M24" s="230">
        <f t="shared" si="12"/>
        <v>0</v>
      </c>
      <c r="N24" s="230">
        <f t="shared" si="12"/>
        <v>0</v>
      </c>
      <c r="O24" s="230">
        <f t="shared" si="12"/>
        <v>0</v>
      </c>
      <c r="P24" s="230">
        <f t="shared" si="12"/>
        <v>0</v>
      </c>
      <c r="Q24" s="230">
        <f t="shared" si="12"/>
        <v>0</v>
      </c>
      <c r="R24" s="254">
        <f t="shared" si="10"/>
        <v>0</v>
      </c>
      <c r="S24" s="255">
        <f>E24-R24</f>
        <v>0</v>
      </c>
    </row>
    <row r="25" spans="2:19" s="220" customFormat="1" ht="45.75" customHeight="1">
      <c r="B25" s="534"/>
      <c r="C25" s="519"/>
      <c r="D25" s="539"/>
      <c r="E25" s="231" t="s">
        <v>98</v>
      </c>
      <c r="F25" s="232">
        <v>0</v>
      </c>
      <c r="G25" s="232">
        <v>0</v>
      </c>
      <c r="H25" s="232">
        <v>0.2</v>
      </c>
      <c r="I25" s="232">
        <v>0</v>
      </c>
      <c r="J25" s="232">
        <v>0.2</v>
      </c>
      <c r="K25" s="232">
        <v>0</v>
      </c>
      <c r="L25" s="232">
        <v>0.2</v>
      </c>
      <c r="M25" s="232">
        <v>0</v>
      </c>
      <c r="N25" s="232">
        <v>0.2</v>
      </c>
      <c r="O25" s="232">
        <v>0</v>
      </c>
      <c r="P25" s="232">
        <v>0.2</v>
      </c>
      <c r="Q25" s="232">
        <v>0</v>
      </c>
      <c r="R25" s="256">
        <f t="shared" si="10"/>
        <v>1</v>
      </c>
    </row>
    <row r="26" spans="2:19" s="220" customFormat="1" ht="31.5" customHeight="1">
      <c r="B26" s="516" t="str">
        <f>'PLANILHA GLOBAL'!B29</f>
        <v>2.4</v>
      </c>
      <c r="C26" s="529" t="str">
        <f>'PLANILHA GLOBAL'!C29</f>
        <v>SICRO 4015612</v>
      </c>
      <c r="D26" s="536" t="str">
        <f>'PLANILHA GLOBAL'!D29</f>
        <v>EXECUÇÃO DE REVESTIMENTO PRIMÁRIO COM MATERIAL DE JAZIDA</v>
      </c>
      <c r="E26" s="233">
        <f>'PLANILHA GLOBAL'!L29</f>
        <v>0</v>
      </c>
      <c r="F26" s="234">
        <f>ROUND($E$26*F27,2)</f>
        <v>0</v>
      </c>
      <c r="G26" s="234">
        <f t="shared" ref="G26:Q26" si="13">ROUND($E$26*G27,2)</f>
        <v>0</v>
      </c>
      <c r="H26" s="234">
        <f t="shared" si="13"/>
        <v>0</v>
      </c>
      <c r="I26" s="234">
        <f t="shared" si="13"/>
        <v>0</v>
      </c>
      <c r="J26" s="234">
        <f t="shared" si="13"/>
        <v>0</v>
      </c>
      <c r="K26" s="234">
        <f t="shared" si="13"/>
        <v>0</v>
      </c>
      <c r="L26" s="234">
        <f t="shared" si="13"/>
        <v>0</v>
      </c>
      <c r="M26" s="234">
        <f t="shared" si="13"/>
        <v>0</v>
      </c>
      <c r="N26" s="234">
        <f t="shared" si="13"/>
        <v>0</v>
      </c>
      <c r="O26" s="234">
        <f t="shared" si="13"/>
        <v>0</v>
      </c>
      <c r="P26" s="234">
        <f t="shared" si="13"/>
        <v>0</v>
      </c>
      <c r="Q26" s="234">
        <f t="shared" si="13"/>
        <v>0</v>
      </c>
      <c r="R26" s="257">
        <f t="shared" si="10"/>
        <v>0</v>
      </c>
      <c r="S26" s="255">
        <f>E26-R26</f>
        <v>0</v>
      </c>
    </row>
    <row r="27" spans="2:19" s="220" customFormat="1" ht="31.5" customHeight="1">
      <c r="B27" s="535"/>
      <c r="C27" s="530"/>
      <c r="D27" s="540"/>
      <c r="E27" s="235" t="s">
        <v>98</v>
      </c>
      <c r="F27" s="236">
        <v>0</v>
      </c>
      <c r="G27" s="236">
        <v>0</v>
      </c>
      <c r="H27" s="236">
        <v>0.2</v>
      </c>
      <c r="I27" s="236">
        <v>0</v>
      </c>
      <c r="J27" s="236">
        <v>0.2</v>
      </c>
      <c r="K27" s="236">
        <v>0</v>
      </c>
      <c r="L27" s="236">
        <v>0.2</v>
      </c>
      <c r="M27" s="236">
        <v>0</v>
      </c>
      <c r="N27" s="236">
        <v>0.2</v>
      </c>
      <c r="O27" s="236">
        <v>0</v>
      </c>
      <c r="P27" s="236">
        <v>0.2</v>
      </c>
      <c r="Q27" s="236">
        <v>0</v>
      </c>
      <c r="R27" s="258">
        <f t="shared" si="10"/>
        <v>1</v>
      </c>
    </row>
    <row r="28" spans="2:19" s="220" customFormat="1" ht="31.5" customHeight="1">
      <c r="B28" s="533" t="str">
        <f>'PLANILHA GLOBAL'!B30</f>
        <v>2.5</v>
      </c>
      <c r="C28" s="518" t="str">
        <f>'PLANILHA GLOBAL'!C30</f>
        <v>SICRO 4016096</v>
      </c>
      <c r="D28" s="538" t="str">
        <f>'PLANILHA GLOBAL'!D30</f>
        <v>ESCAVAÇÃO E CARGA DE MATERIAL DE JAZIDA COM ESCAVADEIRA HIDRÁULICA DE 1,56 M³</v>
      </c>
      <c r="E28" s="229">
        <f>'PLANILHA GLOBAL'!L30</f>
        <v>0</v>
      </c>
      <c r="F28" s="230">
        <f>ROUND($E$28*F29,2)</f>
        <v>0</v>
      </c>
      <c r="G28" s="230">
        <f t="shared" ref="G28:Q28" si="14">ROUND($E$28*G29,2)</f>
        <v>0</v>
      </c>
      <c r="H28" s="230">
        <f t="shared" si="14"/>
        <v>0</v>
      </c>
      <c r="I28" s="230">
        <f t="shared" si="14"/>
        <v>0</v>
      </c>
      <c r="J28" s="230">
        <f t="shared" si="14"/>
        <v>0</v>
      </c>
      <c r="K28" s="230">
        <f t="shared" si="14"/>
        <v>0</v>
      </c>
      <c r="L28" s="230">
        <f t="shared" si="14"/>
        <v>0</v>
      </c>
      <c r="M28" s="230">
        <f t="shared" si="14"/>
        <v>0</v>
      </c>
      <c r="N28" s="230">
        <f t="shared" si="14"/>
        <v>0</v>
      </c>
      <c r="O28" s="230">
        <f t="shared" si="14"/>
        <v>0</v>
      </c>
      <c r="P28" s="230">
        <f t="shared" si="14"/>
        <v>0</v>
      </c>
      <c r="Q28" s="230">
        <f t="shared" si="14"/>
        <v>0</v>
      </c>
      <c r="R28" s="254">
        <f t="shared" si="10"/>
        <v>0</v>
      </c>
      <c r="S28" s="255">
        <f>E28-R28</f>
        <v>0</v>
      </c>
    </row>
    <row r="29" spans="2:19" s="220" customFormat="1" ht="31.5" customHeight="1">
      <c r="B29" s="534"/>
      <c r="C29" s="519"/>
      <c r="D29" s="539"/>
      <c r="E29" s="231" t="s">
        <v>98</v>
      </c>
      <c r="F29" s="232">
        <v>0</v>
      </c>
      <c r="G29" s="232">
        <v>0</v>
      </c>
      <c r="H29" s="232">
        <v>0.2</v>
      </c>
      <c r="I29" s="232">
        <v>0</v>
      </c>
      <c r="J29" s="232">
        <v>0.2</v>
      </c>
      <c r="K29" s="232">
        <v>0</v>
      </c>
      <c r="L29" s="232">
        <v>0.2</v>
      </c>
      <c r="M29" s="232">
        <v>0</v>
      </c>
      <c r="N29" s="232">
        <v>0.2</v>
      </c>
      <c r="O29" s="232">
        <v>0</v>
      </c>
      <c r="P29" s="232">
        <v>0.2</v>
      </c>
      <c r="Q29" s="232">
        <v>0</v>
      </c>
      <c r="R29" s="256">
        <f t="shared" si="10"/>
        <v>1</v>
      </c>
    </row>
    <row r="30" spans="2:19" s="220" customFormat="1" ht="31.5" customHeight="1">
      <c r="B30" s="516" t="str">
        <f>'PLANILHA GLOBAL'!B31</f>
        <v>2.6</v>
      </c>
      <c r="C30" s="529" t="str">
        <f>'PLANILHA GLOBAL'!C31</f>
        <v>SICRO 5901639</v>
      </c>
      <c r="D30" s="536" t="str">
        <f>'PLANILHA GLOBAL'!D31</f>
        <v>TRANSPORTE COM CAMINHÃO BASCULANTE COM CAÇAMBA ESTANQUE COM CAPACIDADE DE 14 M³ - RODOVIA EM LEITO NATURAL</v>
      </c>
      <c r="E30" s="233">
        <f>'PLANILHA GLOBAL'!L31</f>
        <v>0</v>
      </c>
      <c r="F30" s="234">
        <f>ROUND($E$30*F31,2)</f>
        <v>0</v>
      </c>
      <c r="G30" s="234">
        <f t="shared" ref="G30:Q30" si="15">ROUND($E$30*G31,2)</f>
        <v>0</v>
      </c>
      <c r="H30" s="234">
        <f t="shared" si="15"/>
        <v>0</v>
      </c>
      <c r="I30" s="234">
        <f t="shared" si="15"/>
        <v>0</v>
      </c>
      <c r="J30" s="234">
        <f t="shared" si="15"/>
        <v>0</v>
      </c>
      <c r="K30" s="234">
        <f t="shared" si="15"/>
        <v>0</v>
      </c>
      <c r="L30" s="234">
        <f t="shared" si="15"/>
        <v>0</v>
      </c>
      <c r="M30" s="234">
        <f t="shared" si="15"/>
        <v>0</v>
      </c>
      <c r="N30" s="234">
        <f t="shared" si="15"/>
        <v>0</v>
      </c>
      <c r="O30" s="234">
        <f t="shared" si="15"/>
        <v>0</v>
      </c>
      <c r="P30" s="234">
        <f t="shared" si="15"/>
        <v>0</v>
      </c>
      <c r="Q30" s="234">
        <f t="shared" si="15"/>
        <v>0</v>
      </c>
      <c r="R30" s="257">
        <f t="shared" ref="R30:R39" si="16">SUM(F30:Q30)</f>
        <v>0</v>
      </c>
      <c r="S30" s="255">
        <f>E30-R30</f>
        <v>0</v>
      </c>
    </row>
    <row r="31" spans="2:19" s="220" customFormat="1" ht="31.5" customHeight="1">
      <c r="B31" s="535"/>
      <c r="C31" s="530"/>
      <c r="D31" s="540"/>
      <c r="E31" s="235" t="s">
        <v>98</v>
      </c>
      <c r="F31" s="236">
        <v>0</v>
      </c>
      <c r="G31" s="236">
        <v>0</v>
      </c>
      <c r="H31" s="236">
        <v>0.2</v>
      </c>
      <c r="I31" s="236">
        <v>0</v>
      </c>
      <c r="J31" s="236">
        <v>0.2</v>
      </c>
      <c r="K31" s="236">
        <v>0</v>
      </c>
      <c r="L31" s="236">
        <v>0.2</v>
      </c>
      <c r="M31" s="236">
        <v>0</v>
      </c>
      <c r="N31" s="236">
        <v>0.2</v>
      </c>
      <c r="O31" s="236">
        <v>0</v>
      </c>
      <c r="P31" s="236">
        <v>0.2</v>
      </c>
      <c r="Q31" s="236">
        <v>0</v>
      </c>
      <c r="R31" s="258">
        <f t="shared" si="16"/>
        <v>1</v>
      </c>
    </row>
    <row r="32" spans="2:19" s="220" customFormat="1" ht="31.5" customHeight="1">
      <c r="B32" s="515" t="str">
        <f>'PLANILHA GLOBAL'!B32</f>
        <v>2.7</v>
      </c>
      <c r="C32" s="542" t="s">
        <v>77</v>
      </c>
      <c r="D32" s="541" t="s">
        <v>78</v>
      </c>
      <c r="E32" s="241">
        <f>'PLANILHA GLOBAL'!L32</f>
        <v>0</v>
      </c>
      <c r="F32" s="230">
        <f>ROUND($E$32*F33,2)</f>
        <v>0</v>
      </c>
      <c r="G32" s="230">
        <f t="shared" ref="G32:Q32" si="17">ROUND($E$32*G33,2)</f>
        <v>0</v>
      </c>
      <c r="H32" s="230">
        <f t="shared" si="17"/>
        <v>0</v>
      </c>
      <c r="I32" s="230">
        <f t="shared" si="17"/>
        <v>0</v>
      </c>
      <c r="J32" s="230">
        <f t="shared" si="17"/>
        <v>0</v>
      </c>
      <c r="K32" s="230">
        <f t="shared" si="17"/>
        <v>0</v>
      </c>
      <c r="L32" s="230">
        <f t="shared" si="17"/>
        <v>0</v>
      </c>
      <c r="M32" s="230">
        <f t="shared" si="17"/>
        <v>0</v>
      </c>
      <c r="N32" s="230">
        <f t="shared" si="17"/>
        <v>0</v>
      </c>
      <c r="O32" s="230">
        <f t="shared" si="17"/>
        <v>0</v>
      </c>
      <c r="P32" s="230">
        <f t="shared" si="17"/>
        <v>0</v>
      </c>
      <c r="Q32" s="230">
        <f t="shared" si="17"/>
        <v>0</v>
      </c>
      <c r="R32" s="254">
        <f t="shared" si="16"/>
        <v>0</v>
      </c>
      <c r="S32" s="255">
        <f>E32-R32</f>
        <v>0</v>
      </c>
    </row>
    <row r="33" spans="2:19" s="220" customFormat="1" ht="31.5" customHeight="1">
      <c r="B33" s="515"/>
      <c r="C33" s="542"/>
      <c r="D33" s="541"/>
      <c r="E33" s="231" t="s">
        <v>98</v>
      </c>
      <c r="F33" s="232">
        <v>0.25</v>
      </c>
      <c r="G33" s="232">
        <v>0.25</v>
      </c>
      <c r="H33" s="232">
        <v>0</v>
      </c>
      <c r="I33" s="232">
        <v>0</v>
      </c>
      <c r="J33" s="232">
        <v>0</v>
      </c>
      <c r="K33" s="232">
        <v>0.25</v>
      </c>
      <c r="L33" s="232">
        <v>0</v>
      </c>
      <c r="M33" s="232">
        <v>0</v>
      </c>
      <c r="N33" s="232">
        <v>0</v>
      </c>
      <c r="O33" s="232">
        <v>0.25</v>
      </c>
      <c r="P33" s="232">
        <v>0</v>
      </c>
      <c r="Q33" s="232">
        <v>0</v>
      </c>
      <c r="R33" s="256">
        <f t="shared" si="16"/>
        <v>1</v>
      </c>
    </row>
    <row r="34" spans="2:19" s="220" customFormat="1" ht="31.5" customHeight="1">
      <c r="B34" s="516" t="str">
        <f>'PLANILHA GLOBAL'!B33</f>
        <v>2.8</v>
      </c>
      <c r="C34" s="529" t="str">
        <f>'PLANILHA GLOBAL'!C33</f>
        <v>CPU - 04</v>
      </c>
      <c r="D34" s="536" t="str">
        <f>'PLANILHA GLOBAL'!D33</f>
        <v>ENSAIOS GEOTÉCNICOS - CONTROLE TECNOLÓGICO DE OBRA</v>
      </c>
      <c r="E34" s="233">
        <f>'PLANILHA GLOBAL'!L33</f>
        <v>0</v>
      </c>
      <c r="F34" s="234">
        <f>ROUND($E$34*F35,2)</f>
        <v>0</v>
      </c>
      <c r="G34" s="234">
        <f t="shared" ref="G34:Q34" si="18">ROUND($E$34*G35,2)</f>
        <v>0</v>
      </c>
      <c r="H34" s="234">
        <f t="shared" si="18"/>
        <v>0</v>
      </c>
      <c r="I34" s="234">
        <f t="shared" si="18"/>
        <v>0</v>
      </c>
      <c r="J34" s="234">
        <f t="shared" si="18"/>
        <v>0</v>
      </c>
      <c r="K34" s="234">
        <f t="shared" si="18"/>
        <v>0</v>
      </c>
      <c r="L34" s="234">
        <f t="shared" si="18"/>
        <v>0</v>
      </c>
      <c r="M34" s="234">
        <f t="shared" si="18"/>
        <v>0</v>
      </c>
      <c r="N34" s="234">
        <f t="shared" si="18"/>
        <v>0</v>
      </c>
      <c r="O34" s="234">
        <f t="shared" si="18"/>
        <v>0</v>
      </c>
      <c r="P34" s="234">
        <f t="shared" si="18"/>
        <v>0</v>
      </c>
      <c r="Q34" s="234">
        <f t="shared" si="18"/>
        <v>0</v>
      </c>
      <c r="R34" s="257">
        <f t="shared" si="16"/>
        <v>0</v>
      </c>
      <c r="S34" s="255">
        <f>E34-R34</f>
        <v>0</v>
      </c>
    </row>
    <row r="35" spans="2:19" s="220" customFormat="1" ht="31.5" customHeight="1">
      <c r="B35" s="517"/>
      <c r="C35" s="531"/>
      <c r="D35" s="537"/>
      <c r="E35" s="237" t="s">
        <v>98</v>
      </c>
      <c r="F35" s="238">
        <v>0</v>
      </c>
      <c r="G35" s="238">
        <v>0</v>
      </c>
      <c r="H35" s="238">
        <v>0.2</v>
      </c>
      <c r="I35" s="238">
        <v>0.2</v>
      </c>
      <c r="J35" s="238">
        <v>0.2</v>
      </c>
      <c r="K35" s="238">
        <v>0.2</v>
      </c>
      <c r="L35" s="238">
        <v>0.1999996</v>
      </c>
      <c r="M35" s="238">
        <v>0</v>
      </c>
      <c r="N35" s="238">
        <v>0</v>
      </c>
      <c r="O35" s="238">
        <v>0</v>
      </c>
      <c r="P35" s="238">
        <v>0</v>
      </c>
      <c r="Q35" s="238">
        <v>0</v>
      </c>
      <c r="R35" s="259">
        <f t="shared" ref="R35" si="19">SUM(F35:Q35)</f>
        <v>0.99999959999999999</v>
      </c>
    </row>
    <row r="36" spans="2:19" s="220" customFormat="1" ht="31.5" customHeight="1">
      <c r="B36" s="515" t="str">
        <f>'PLANILHA GLOBAL'!B34</f>
        <v>2.9</v>
      </c>
      <c r="C36" s="542" t="str">
        <f>'PLANILHA GLOBAL'!C34</f>
        <v>SICRO 5213440</v>
      </c>
      <c r="D36" s="541" t="str">
        <f>'PLANILHA GLOBAL'!D34</f>
        <v>PLACA DE REGULAMENTAÇÃO EM AÇO D = 0,60 M - PELÍCULA RETROREFLETIVA TIPO I + SI - FORNECIMENTO E IMPLANTAÇÃO</v>
      </c>
      <c r="E36" s="241">
        <f>'PLANILHA GLOBAL'!L34</f>
        <v>0</v>
      </c>
      <c r="F36" s="230">
        <f t="shared" ref="F36:Q36" si="20">ROUND($E$36*F37,2)</f>
        <v>0</v>
      </c>
      <c r="G36" s="230">
        <f t="shared" si="20"/>
        <v>0</v>
      </c>
      <c r="H36" s="230">
        <f t="shared" si="20"/>
        <v>0</v>
      </c>
      <c r="I36" s="230">
        <f t="shared" si="20"/>
        <v>0</v>
      </c>
      <c r="J36" s="230">
        <f t="shared" si="20"/>
        <v>0</v>
      </c>
      <c r="K36" s="230">
        <f t="shared" si="20"/>
        <v>0</v>
      </c>
      <c r="L36" s="230">
        <f t="shared" si="20"/>
        <v>0</v>
      </c>
      <c r="M36" s="230">
        <f t="shared" si="20"/>
        <v>0</v>
      </c>
      <c r="N36" s="230">
        <f t="shared" si="20"/>
        <v>0</v>
      </c>
      <c r="O36" s="230">
        <f t="shared" si="20"/>
        <v>0</v>
      </c>
      <c r="P36" s="230">
        <f t="shared" si="20"/>
        <v>0</v>
      </c>
      <c r="Q36" s="230">
        <f t="shared" si="20"/>
        <v>0</v>
      </c>
      <c r="R36" s="254">
        <f t="shared" si="16"/>
        <v>0</v>
      </c>
      <c r="S36" s="255">
        <f>E36-R36</f>
        <v>0</v>
      </c>
    </row>
    <row r="37" spans="2:19" s="220" customFormat="1" ht="31.5" customHeight="1">
      <c r="B37" s="515"/>
      <c r="C37" s="542"/>
      <c r="D37" s="541"/>
      <c r="E37" s="231" t="s">
        <v>98</v>
      </c>
      <c r="F37" s="232">
        <v>0</v>
      </c>
      <c r="G37" s="232">
        <v>0</v>
      </c>
      <c r="H37" s="232">
        <v>0</v>
      </c>
      <c r="I37" s="232">
        <v>0</v>
      </c>
      <c r="J37" s="232">
        <v>0</v>
      </c>
      <c r="K37" s="232">
        <v>0</v>
      </c>
      <c r="L37" s="232">
        <v>0</v>
      </c>
      <c r="M37" s="232">
        <v>0.2</v>
      </c>
      <c r="N37" s="232">
        <v>0.2</v>
      </c>
      <c r="O37" s="232">
        <v>0.2</v>
      </c>
      <c r="P37" s="232">
        <v>0.2</v>
      </c>
      <c r="Q37" s="232">
        <v>0.20000024999999999</v>
      </c>
      <c r="R37" s="256">
        <f t="shared" si="16"/>
        <v>1.00000025</v>
      </c>
    </row>
    <row r="38" spans="2:19" s="220" customFormat="1" ht="31.5" customHeight="1">
      <c r="B38" s="516" t="str">
        <f>'PLANILHA GLOBAL'!B35</f>
        <v>2.10</v>
      </c>
      <c r="C38" s="529" t="str">
        <f>'PLANILHA GLOBAL'!C35</f>
        <v>SICRO 5213863</v>
      </c>
      <c r="D38" s="536" t="str">
        <f>'PLANILHA GLOBAL'!D35</f>
        <v>SUPORTE METÁLICO GALVANIZADO PARA PLACA DE ADVERTÊNCIA OU REGULAMENTAÇÃO - LADO OU DIÂMETRO DE 0,60 M - FORNECIMENTO E IMPLANTAÇÃO</v>
      </c>
      <c r="E38" s="233">
        <f>'PLANILHA GLOBAL'!L35</f>
        <v>0</v>
      </c>
      <c r="F38" s="234">
        <f>ROUND($E$38*F39,2)</f>
        <v>0</v>
      </c>
      <c r="G38" s="234">
        <f t="shared" ref="G38:Q38" si="21">ROUND($E$38*G39,2)</f>
        <v>0</v>
      </c>
      <c r="H38" s="234">
        <f t="shared" si="21"/>
        <v>0</v>
      </c>
      <c r="I38" s="234">
        <f t="shared" si="21"/>
        <v>0</v>
      </c>
      <c r="J38" s="234">
        <f t="shared" si="21"/>
        <v>0</v>
      </c>
      <c r="K38" s="234">
        <f t="shared" si="21"/>
        <v>0</v>
      </c>
      <c r="L38" s="234">
        <f t="shared" si="21"/>
        <v>0</v>
      </c>
      <c r="M38" s="234">
        <f t="shared" si="21"/>
        <v>0</v>
      </c>
      <c r="N38" s="234">
        <f t="shared" si="21"/>
        <v>0</v>
      </c>
      <c r="O38" s="234">
        <f t="shared" si="21"/>
        <v>0</v>
      </c>
      <c r="P38" s="234">
        <f t="shared" si="21"/>
        <v>0</v>
      </c>
      <c r="Q38" s="234">
        <f t="shared" si="21"/>
        <v>0</v>
      </c>
      <c r="R38" s="257">
        <f t="shared" si="16"/>
        <v>0</v>
      </c>
      <c r="S38" s="255">
        <f>E38-R38</f>
        <v>0</v>
      </c>
    </row>
    <row r="39" spans="2:19" s="220" customFormat="1" ht="31.5" customHeight="1">
      <c r="B39" s="517"/>
      <c r="C39" s="531"/>
      <c r="D39" s="537"/>
      <c r="E39" s="237" t="s">
        <v>98</v>
      </c>
      <c r="F39" s="238">
        <v>0</v>
      </c>
      <c r="G39" s="238">
        <v>0</v>
      </c>
      <c r="H39" s="238">
        <v>0</v>
      </c>
      <c r="I39" s="238">
        <v>0</v>
      </c>
      <c r="J39" s="238">
        <v>0</v>
      </c>
      <c r="K39" s="238">
        <v>0</v>
      </c>
      <c r="L39" s="238">
        <v>0</v>
      </c>
      <c r="M39" s="238">
        <v>0.2</v>
      </c>
      <c r="N39" s="238">
        <v>0.2</v>
      </c>
      <c r="O39" s="238">
        <v>0.2</v>
      </c>
      <c r="P39" s="238">
        <v>0.2</v>
      </c>
      <c r="Q39" s="238">
        <v>0.20000019999999999</v>
      </c>
      <c r="R39" s="259">
        <f t="shared" si="16"/>
        <v>1.0000002000000001</v>
      </c>
    </row>
    <row r="40" spans="2:19" s="220" customFormat="1" ht="18.75" customHeight="1">
      <c r="D40" s="242"/>
      <c r="E40" s="243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60" t="s">
        <v>99</v>
      </c>
      <c r="R40" s="261">
        <f>ROUND(R20+R22+R24+R26+R28+R30+R32+R34+R36+R38,2)</f>
        <v>0</v>
      </c>
    </row>
    <row r="41" spans="2:19" s="222" customFormat="1" ht="15.75">
      <c r="D41" s="244" t="s">
        <v>97</v>
      </c>
      <c r="E41" s="245">
        <f>SUM(E6,E8,E10,E12,E14,E16,E20,E22,E24,E26,E28,E30+E32+E34+E36+E38)</f>
        <v>0</v>
      </c>
      <c r="F41" s="246">
        <f>SUM(F6,F8,F10,F12,F14,F16,F20,F22,F24,F26,F28,F30,F32,F34,F36,F38)</f>
        <v>0</v>
      </c>
      <c r="G41" s="246">
        <f t="shared" ref="G41:Q41" si="22">SUM(G6,G8,G10,G12,G14,G16,G20,G22,G24,G26,G28,G30,G32,G34,G36,G38)</f>
        <v>0</v>
      </c>
      <c r="H41" s="246">
        <f t="shared" si="22"/>
        <v>0</v>
      </c>
      <c r="I41" s="246">
        <f t="shared" si="22"/>
        <v>0</v>
      </c>
      <c r="J41" s="246">
        <f t="shared" si="22"/>
        <v>0</v>
      </c>
      <c r="K41" s="246">
        <f t="shared" si="22"/>
        <v>0</v>
      </c>
      <c r="L41" s="246">
        <f t="shared" si="22"/>
        <v>0</v>
      </c>
      <c r="M41" s="246">
        <f t="shared" si="22"/>
        <v>0</v>
      </c>
      <c r="N41" s="246">
        <f t="shared" si="22"/>
        <v>0</v>
      </c>
      <c r="O41" s="246">
        <f t="shared" si="22"/>
        <v>0</v>
      </c>
      <c r="P41" s="246">
        <f t="shared" si="22"/>
        <v>0</v>
      </c>
      <c r="Q41" s="246">
        <f t="shared" si="22"/>
        <v>0</v>
      </c>
      <c r="R41" s="440">
        <f>SUM(R18,R40)</f>
        <v>0</v>
      </c>
      <c r="S41" s="263">
        <f>E41-R41</f>
        <v>0</v>
      </c>
    </row>
    <row r="42" spans="2:19" ht="15.75" hidden="1">
      <c r="B42" s="247"/>
      <c r="C42" s="247"/>
      <c r="D42" s="248" t="s">
        <v>100</v>
      </c>
      <c r="E42" s="249">
        <f>E41-E10</f>
        <v>0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47"/>
    </row>
    <row r="43" spans="2:19">
      <c r="D43" s="250" t="s">
        <v>101</v>
      </c>
      <c r="E43" s="251">
        <f t="shared" ref="E43:Q43" si="23">E41-E6</f>
        <v>0</v>
      </c>
      <c r="F43" s="251">
        <f t="shared" si="23"/>
        <v>0</v>
      </c>
      <c r="G43" s="251">
        <f t="shared" si="23"/>
        <v>0</v>
      </c>
      <c r="H43" s="251">
        <f t="shared" si="23"/>
        <v>0</v>
      </c>
      <c r="I43" s="251">
        <f t="shared" si="23"/>
        <v>0</v>
      </c>
      <c r="J43" s="251">
        <f t="shared" si="23"/>
        <v>0</v>
      </c>
      <c r="K43" s="251">
        <f t="shared" si="23"/>
        <v>0</v>
      </c>
      <c r="L43" s="251">
        <f t="shared" si="23"/>
        <v>0</v>
      </c>
      <c r="M43" s="251">
        <f t="shared" si="23"/>
        <v>0</v>
      </c>
      <c r="N43" s="251">
        <f t="shared" si="23"/>
        <v>0</v>
      </c>
      <c r="O43" s="251">
        <f t="shared" si="23"/>
        <v>0</v>
      </c>
      <c r="P43" s="251">
        <f t="shared" si="23"/>
        <v>0</v>
      </c>
      <c r="Q43" s="251">
        <f t="shared" si="23"/>
        <v>0</v>
      </c>
    </row>
    <row r="44" spans="2:19">
      <c r="D44" s="532" t="s">
        <v>102</v>
      </c>
      <c r="E44" s="532"/>
      <c r="F44" s="252" t="e">
        <f>F43/$E$43</f>
        <v>#DIV/0!</v>
      </c>
      <c r="G44" s="252" t="e">
        <f t="shared" ref="G44:Q44" si="24">G43/$E$43</f>
        <v>#DIV/0!</v>
      </c>
      <c r="H44" s="252" t="e">
        <f t="shared" si="24"/>
        <v>#DIV/0!</v>
      </c>
      <c r="I44" s="252" t="e">
        <f t="shared" si="24"/>
        <v>#DIV/0!</v>
      </c>
      <c r="J44" s="252" t="e">
        <f t="shared" si="24"/>
        <v>#DIV/0!</v>
      </c>
      <c r="K44" s="252" t="e">
        <f t="shared" si="24"/>
        <v>#DIV/0!</v>
      </c>
      <c r="L44" s="252" t="e">
        <f t="shared" si="24"/>
        <v>#DIV/0!</v>
      </c>
      <c r="M44" s="252" t="e">
        <f t="shared" si="24"/>
        <v>#DIV/0!</v>
      </c>
      <c r="N44" s="252" t="e">
        <f t="shared" si="24"/>
        <v>#DIV/0!</v>
      </c>
      <c r="O44" s="252" t="e">
        <f t="shared" si="24"/>
        <v>#DIV/0!</v>
      </c>
      <c r="P44" s="252" t="e">
        <f t="shared" si="24"/>
        <v>#DIV/0!</v>
      </c>
      <c r="Q44" s="252" t="e">
        <f t="shared" si="24"/>
        <v>#DIV/0!</v>
      </c>
    </row>
  </sheetData>
  <mergeCells count="56">
    <mergeCell ref="D38:D39"/>
    <mergeCell ref="C34:C35"/>
    <mergeCell ref="C36:C37"/>
    <mergeCell ref="C38:C39"/>
    <mergeCell ref="D6:D7"/>
    <mergeCell ref="D8:D9"/>
    <mergeCell ref="D10:D11"/>
    <mergeCell ref="D12:D13"/>
    <mergeCell ref="D14:D15"/>
    <mergeCell ref="C20:C21"/>
    <mergeCell ref="C22:C23"/>
    <mergeCell ref="C24:C25"/>
    <mergeCell ref="C26:C27"/>
    <mergeCell ref="C28:C29"/>
    <mergeCell ref="C8:C9"/>
    <mergeCell ref="C10:C11"/>
    <mergeCell ref="D36:D37"/>
    <mergeCell ref="C30:C31"/>
    <mergeCell ref="C32:C33"/>
    <mergeCell ref="B18:D18"/>
    <mergeCell ref="C19:D19"/>
    <mergeCell ref="D28:D29"/>
    <mergeCell ref="D30:D31"/>
    <mergeCell ref="D32:D33"/>
    <mergeCell ref="D44:E44"/>
    <mergeCell ref="B6:B7"/>
    <mergeCell ref="B8:B9"/>
    <mergeCell ref="B10:B11"/>
    <mergeCell ref="B12:B13"/>
    <mergeCell ref="B14:B15"/>
    <mergeCell ref="B16:B17"/>
    <mergeCell ref="B20:B21"/>
    <mergeCell ref="B22:B23"/>
    <mergeCell ref="B24:B25"/>
    <mergeCell ref="B26:B27"/>
    <mergeCell ref="B28:B29"/>
    <mergeCell ref="B30:B31"/>
    <mergeCell ref="B34:B35"/>
    <mergeCell ref="B36:B37"/>
    <mergeCell ref="D16:D17"/>
    <mergeCell ref="B32:B33"/>
    <mergeCell ref="B38:B39"/>
    <mergeCell ref="C6:C7"/>
    <mergeCell ref="B1:P1"/>
    <mergeCell ref="Q1:R1"/>
    <mergeCell ref="B2:R2"/>
    <mergeCell ref="B3:R3"/>
    <mergeCell ref="C5:D5"/>
    <mergeCell ref="C12:C13"/>
    <mergeCell ref="C14:C15"/>
    <mergeCell ref="C16:C17"/>
    <mergeCell ref="D20:D21"/>
    <mergeCell ref="D22:D23"/>
    <mergeCell ref="D24:D25"/>
    <mergeCell ref="D26:D27"/>
    <mergeCell ref="D34:D35"/>
  </mergeCells>
  <conditionalFormatting sqref="B5">
    <cfRule type="expression" dxfId="12" priority="15" stopIfTrue="1">
      <formula>RIGHT(B5,2)="00"</formula>
    </cfRule>
  </conditionalFormatting>
  <conditionalFormatting sqref="B10">
    <cfRule type="expression" dxfId="11" priority="14" stopIfTrue="1">
      <formula>RIGHT(B10,2)="00"</formula>
    </cfRule>
  </conditionalFormatting>
  <conditionalFormatting sqref="B12">
    <cfRule type="expression" dxfId="10" priority="13" stopIfTrue="1">
      <formula>RIGHT(B12,2)="00"</formula>
    </cfRule>
  </conditionalFormatting>
  <conditionalFormatting sqref="B14">
    <cfRule type="expression" dxfId="9" priority="12" stopIfTrue="1">
      <formula>RIGHT(B14,2)="00"</formula>
    </cfRule>
  </conditionalFormatting>
  <conditionalFormatting sqref="B16">
    <cfRule type="expression" dxfId="8" priority="11" stopIfTrue="1">
      <formula>RIGHT(B16,2)="00"</formula>
    </cfRule>
  </conditionalFormatting>
  <conditionalFormatting sqref="B20">
    <cfRule type="expression" dxfId="7" priority="10" stopIfTrue="1">
      <formula>RIGHT(B20,2)="00"</formula>
    </cfRule>
  </conditionalFormatting>
  <conditionalFormatting sqref="B22">
    <cfRule type="expression" dxfId="6" priority="9" stopIfTrue="1">
      <formula>RIGHT(B22,2)="00"</formula>
    </cfRule>
  </conditionalFormatting>
  <conditionalFormatting sqref="B24">
    <cfRule type="expression" dxfId="5" priority="8" stopIfTrue="1">
      <formula>RIGHT(B24,2)="00"</formula>
    </cfRule>
  </conditionalFormatting>
  <conditionalFormatting sqref="B26">
    <cfRule type="expression" dxfId="4" priority="7" stopIfTrue="1">
      <formula>RIGHT(B26,2)="00"</formula>
    </cfRule>
  </conditionalFormatting>
  <conditionalFormatting sqref="B28">
    <cfRule type="expression" dxfId="3" priority="6" stopIfTrue="1">
      <formula>RIGHT(B28,2)="00"</formula>
    </cfRule>
  </conditionalFormatting>
  <conditionalFormatting sqref="B30">
    <cfRule type="expression" dxfId="2" priority="5" stopIfTrue="1">
      <formula>RIGHT(B30,2)="00"</formula>
    </cfRule>
  </conditionalFormatting>
  <conditionalFormatting sqref="B34">
    <cfRule type="expression" dxfId="1" priority="2" stopIfTrue="1">
      <formula>RIGHT(B34,2)="00"</formula>
    </cfRule>
  </conditionalFormatting>
  <conditionalFormatting sqref="B38">
    <cfRule type="expression" dxfId="0" priority="1" stopIfTrue="1">
      <formula>RIGHT(B38,2)="00"</formula>
    </cfRule>
  </conditionalFormatting>
  <pageMargins left="0.39370078740157499" right="0.39370078740157499" top="0.39370078740157499" bottom="0.39370078740157499" header="0.31496062992126" footer="0.31496062992126"/>
  <pageSetup paperSize="9" scale="3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  <pageSetUpPr fitToPage="1"/>
  </sheetPr>
  <dimension ref="A1:AMA29"/>
  <sheetViews>
    <sheetView view="pageBreakPreview" topLeftCell="A4" zoomScale="85" zoomScaleNormal="85" zoomScaleSheetLayoutView="85" workbookViewId="0">
      <selection activeCell="E25" sqref="E25"/>
    </sheetView>
  </sheetViews>
  <sheetFormatPr defaultColWidth="9.140625" defaultRowHeight="15"/>
  <cols>
    <col min="1" max="1" width="9.140625" style="268"/>
    <col min="2" max="2" width="20.5703125" style="268" customWidth="1"/>
    <col min="3" max="3" width="79.85546875" style="269" customWidth="1"/>
    <col min="4" max="4" width="11.28515625" style="268" customWidth="1"/>
    <col min="5" max="5" width="17.5703125" style="268" customWidth="1"/>
    <col min="6" max="6" width="76.28515625" style="268" customWidth="1"/>
    <col min="7" max="1015" width="9.140625" style="269"/>
    <col min="1016" max="16384" width="9.140625" style="270"/>
  </cols>
  <sheetData>
    <row r="1" spans="1:6" s="264" customFormat="1" ht="18.75">
      <c r="A1" s="271"/>
      <c r="B1" s="271"/>
      <c r="C1" s="509" t="s">
        <v>13</v>
      </c>
      <c r="D1" s="509"/>
      <c r="E1" s="509"/>
      <c r="F1" s="509"/>
    </row>
    <row r="2" spans="1:6" s="264" customFormat="1" ht="18.75">
      <c r="A2" s="271"/>
      <c r="B2" s="271"/>
      <c r="C2" s="509" t="s">
        <v>14</v>
      </c>
      <c r="D2" s="509"/>
      <c r="E2" s="509"/>
      <c r="F2" s="509"/>
    </row>
    <row r="3" spans="1:6" s="264" customFormat="1" ht="18.75">
      <c r="A3" s="271"/>
      <c r="B3" s="271"/>
      <c r="C3" s="509" t="s">
        <v>15</v>
      </c>
      <c r="D3" s="509"/>
      <c r="E3" s="509"/>
      <c r="F3" s="509"/>
    </row>
    <row r="4" spans="1:6" s="264" customFormat="1" ht="14.25">
      <c r="A4" s="271"/>
      <c r="B4" s="271"/>
      <c r="C4" s="272"/>
      <c r="D4" s="272"/>
      <c r="E4" s="272"/>
      <c r="F4" s="272"/>
    </row>
    <row r="5" spans="1:6" s="264" customFormat="1" ht="14.25">
      <c r="A5" s="742" t="s">
        <v>527</v>
      </c>
      <c r="B5" s="501"/>
      <c r="C5" s="501"/>
      <c r="D5" s="501"/>
      <c r="E5" s="501"/>
      <c r="F5" s="502"/>
    </row>
    <row r="6" spans="1:6" s="264" customFormat="1" ht="14.25">
      <c r="A6" s="503"/>
      <c r="B6" s="504"/>
      <c r="C6" s="504"/>
      <c r="D6" s="504"/>
      <c r="E6" s="504"/>
      <c r="F6" s="505"/>
    </row>
    <row r="7" spans="1:6" s="264" customFormat="1" ht="14.25">
      <c r="A7" s="506"/>
      <c r="B7" s="507"/>
      <c r="C7" s="507"/>
      <c r="D7" s="507"/>
      <c r="E7" s="507"/>
      <c r="F7" s="508"/>
    </row>
    <row r="8" spans="1:6" s="264" customFormat="1" ht="14.25">
      <c r="A8" s="272"/>
      <c r="B8" s="272"/>
      <c r="C8" s="272"/>
      <c r="D8" s="272"/>
      <c r="E8" s="272"/>
      <c r="F8" s="272"/>
    </row>
    <row r="9" spans="1:6" s="264" customFormat="1" ht="40.5" customHeight="1">
      <c r="A9" s="510" t="s">
        <v>16</v>
      </c>
      <c r="B9" s="511"/>
      <c r="C9" s="512" t="s">
        <v>519</v>
      </c>
      <c r="D9" s="513"/>
      <c r="E9" s="513"/>
      <c r="F9" s="514"/>
    </row>
    <row r="10" spans="1:6" s="264" customFormat="1" ht="14.25">
      <c r="A10" s="271"/>
      <c r="B10" s="271"/>
      <c r="D10" s="271"/>
      <c r="E10" s="271"/>
      <c r="F10" s="271"/>
    </row>
    <row r="11" spans="1:6" s="265" customFormat="1" ht="28.5">
      <c r="A11" s="273" t="s">
        <v>18</v>
      </c>
      <c r="B11" s="489" t="s">
        <v>19</v>
      </c>
      <c r="C11" s="490"/>
      <c r="D11" s="273" t="s">
        <v>20</v>
      </c>
      <c r="E11" s="273" t="s">
        <v>21</v>
      </c>
      <c r="F11" s="273" t="s">
        <v>68</v>
      </c>
    </row>
    <row r="12" spans="1:6" s="266" customFormat="1" ht="25.5" customHeight="1">
      <c r="A12" s="274">
        <v>1</v>
      </c>
      <c r="B12" s="497" t="s">
        <v>29</v>
      </c>
      <c r="C12" s="498"/>
      <c r="D12" s="274"/>
      <c r="E12" s="274"/>
      <c r="F12" s="275"/>
    </row>
    <row r="13" spans="1:6" s="267" customFormat="1" ht="52.5" customHeight="1">
      <c r="A13" s="276" t="s">
        <v>30</v>
      </c>
      <c r="B13" s="276" t="str">
        <f>'COMPOSIÇÕES SINAPI'!A11</f>
        <v>CPU-01</v>
      </c>
      <c r="C13" s="277" t="str">
        <f>'COMPOSIÇÕES SINAPI'!D11</f>
        <v>ADMINISTRAÇÃO LOCAL</v>
      </c>
      <c r="D13" s="276" t="str">
        <f>'COMPOSIÇÕES SINAPI'!E11</f>
        <v>%</v>
      </c>
      <c r="E13" s="278">
        <v>1</v>
      </c>
      <c r="F13" s="279" t="s">
        <v>69</v>
      </c>
    </row>
    <row r="14" spans="1:6" s="267" customFormat="1" ht="35.25" customHeight="1">
      <c r="A14" s="276" t="s">
        <v>33</v>
      </c>
      <c r="B14" s="276" t="str">
        <f>'COMPOSIÇÕES SINAPI'!A16</f>
        <v>CPU-02</v>
      </c>
      <c r="C14" s="277" t="str">
        <f>'COMPOSIÇÕES SINAPI'!D16</f>
        <v>PLACA DE OBRA EM CHAPA DE AÇO GALVANIZADO (1,60 M * 3,20 M)</v>
      </c>
      <c r="D14" s="276" t="str">
        <f>'COMPOSIÇÕES SINAPI'!E16</f>
        <v>M²</v>
      </c>
      <c r="E14" s="280">
        <f>1.6*3.2</f>
        <v>5.120000000000001</v>
      </c>
      <c r="F14" s="281" t="s">
        <v>70</v>
      </c>
    </row>
    <row r="15" spans="1:6" s="267" customFormat="1" ht="28.5">
      <c r="A15" s="276" t="s">
        <v>34</v>
      </c>
      <c r="B15" s="276" t="str">
        <f>'COMPOSIÇÕES SICRO'!A163</f>
        <v>SICRO 5914639</v>
      </c>
      <c r="C15" s="277" t="s">
        <v>35</v>
      </c>
      <c r="D15" s="276" t="str">
        <f>'COMPOSIÇÕES SICRO'!I162</f>
        <v>tkm</v>
      </c>
      <c r="E15" s="280">
        <f>ROUND((Mobilização!$F$28)*0.7,4)</f>
        <v>6859.3</v>
      </c>
      <c r="F15" s="281" t="s">
        <v>71</v>
      </c>
    </row>
    <row r="16" spans="1:6" s="267" customFormat="1" ht="28.5">
      <c r="A16" s="276" t="s">
        <v>36</v>
      </c>
      <c r="B16" s="276" t="str">
        <f>'COMPOSIÇÕES SICRO'!A189</f>
        <v>SICRO 5914640</v>
      </c>
      <c r="C16" s="277" t="s">
        <v>37</v>
      </c>
      <c r="D16" s="276" t="str">
        <f>'COMPOSIÇÕES SICRO'!I188</f>
        <v>tkm</v>
      </c>
      <c r="E16" s="280">
        <f>ROUND((Mobilização!$F$28)*0.3,4)</f>
        <v>2939.7</v>
      </c>
      <c r="F16" s="281" t="s">
        <v>72</v>
      </c>
    </row>
    <row r="17" spans="1:6" s="267" customFormat="1" ht="28.5">
      <c r="A17" s="276" t="s">
        <v>38</v>
      </c>
      <c r="B17" s="276" t="str">
        <f>'COMPOSIÇÕES SICRO'!A163</f>
        <v>SICRO 5914639</v>
      </c>
      <c r="C17" s="277" t="s">
        <v>39</v>
      </c>
      <c r="D17" s="276" t="str">
        <f>'COMPOSIÇÕES SICRO'!I162</f>
        <v>tkm</v>
      </c>
      <c r="E17" s="280">
        <f>ROUND((Mobilização!$F$28)*0.7,4)</f>
        <v>6859.3</v>
      </c>
      <c r="F17" s="281" t="s">
        <v>71</v>
      </c>
    </row>
    <row r="18" spans="1:6" s="267" customFormat="1" ht="28.5">
      <c r="A18" s="276" t="s">
        <v>40</v>
      </c>
      <c r="B18" s="276" t="str">
        <f>'COMPOSIÇÕES SICRO'!A189</f>
        <v>SICRO 5914640</v>
      </c>
      <c r="C18" s="277" t="s">
        <v>41</v>
      </c>
      <c r="D18" s="276" t="str">
        <f>'COMPOSIÇÕES SICRO'!I188</f>
        <v>tkm</v>
      </c>
      <c r="E18" s="280">
        <f>ROUND((Mobilização!$F$28)*0.3,4)</f>
        <v>2939.7</v>
      </c>
      <c r="F18" s="281" t="s">
        <v>72</v>
      </c>
    </row>
    <row r="19" spans="1:6" s="266" customFormat="1" ht="39.75" customHeight="1">
      <c r="A19" s="274">
        <v>2</v>
      </c>
      <c r="B19" s="499" t="s">
        <v>43</v>
      </c>
      <c r="C19" s="500"/>
      <c r="D19" s="274"/>
      <c r="E19" s="274"/>
      <c r="F19" s="282"/>
    </row>
    <row r="20" spans="1:6" s="267" customFormat="1" ht="64.5" customHeight="1">
      <c r="A20" s="276" t="s">
        <v>44</v>
      </c>
      <c r="B20" s="276" t="str">
        <f>'COMPOSIÇÕES SICRO'!A110</f>
        <v>SICRO 5501706</v>
      </c>
      <c r="C20" s="277" t="s">
        <v>45</v>
      </c>
      <c r="D20" s="276" t="str">
        <f>'COMPOSIÇÕES SICRO'!I109</f>
        <v>m³</v>
      </c>
      <c r="E20" s="280">
        <f>142.2*5*5</f>
        <v>3555</v>
      </c>
      <c r="F20" s="281" t="s">
        <v>73</v>
      </c>
    </row>
    <row r="21" spans="1:6" s="267" customFormat="1" ht="28.5">
      <c r="A21" s="276" t="s">
        <v>46</v>
      </c>
      <c r="B21" s="276" t="str">
        <f>'COMPOSIÇÕES SICRO'!A10</f>
        <v>SICRO 3713608</v>
      </c>
      <c r="C21" s="277" t="s">
        <v>47</v>
      </c>
      <c r="D21" s="276" t="str">
        <f>'COMPOSIÇÕES SICRO'!I9</f>
        <v>m</v>
      </c>
      <c r="E21" s="280">
        <f>20*5*5</f>
        <v>500</v>
      </c>
      <c r="F21" s="281" t="s">
        <v>74</v>
      </c>
    </row>
    <row r="22" spans="1:6" s="267" customFormat="1" ht="40.5" customHeight="1">
      <c r="A22" s="276" t="s">
        <v>48</v>
      </c>
      <c r="B22" s="276" t="str">
        <f>'COMPOSIÇÕES SICRO'!A215</f>
        <v>SICRO 4011209</v>
      </c>
      <c r="C22" s="277" t="s">
        <v>49</v>
      </c>
      <c r="D22" s="276" t="str">
        <f>'COMPOSIÇÕES SICRO'!I214</f>
        <v>m²</v>
      </c>
      <c r="E22" s="280">
        <f>1000*5*6</f>
        <v>30000</v>
      </c>
      <c r="F22" s="430" t="s">
        <v>513</v>
      </c>
    </row>
    <row r="23" spans="1:6" s="267" customFormat="1" ht="36.75" customHeight="1">
      <c r="A23" s="276" t="s">
        <v>50</v>
      </c>
      <c r="B23" s="276" t="str">
        <f>'COMPOSIÇÕES SICRO'!A48</f>
        <v>SICRO 4015612</v>
      </c>
      <c r="C23" s="277" t="s">
        <v>51</v>
      </c>
      <c r="D23" s="276" t="str">
        <f>'COMPOSIÇÕES SICRO'!I47</f>
        <v>m³</v>
      </c>
      <c r="E23" s="280">
        <f>(1000*6*0.15)*5</f>
        <v>4500</v>
      </c>
      <c r="F23" s="281" t="s">
        <v>75</v>
      </c>
    </row>
    <row r="24" spans="1:6" s="267" customFormat="1" ht="28.5">
      <c r="A24" s="276" t="s">
        <v>52</v>
      </c>
      <c r="B24" s="276" t="str">
        <f>'COMPOSIÇÕES SICRO'!A83</f>
        <v>SICRO 4016096</v>
      </c>
      <c r="C24" s="277" t="s">
        <v>53</v>
      </c>
      <c r="D24" s="276" t="str">
        <f>'COMPOSIÇÕES SICRO'!I82</f>
        <v>m³</v>
      </c>
      <c r="E24" s="280">
        <f>E23</f>
        <v>4500</v>
      </c>
      <c r="F24" s="281" t="s">
        <v>76</v>
      </c>
    </row>
    <row r="25" spans="1:6" s="267" customFormat="1" ht="48.75" customHeight="1">
      <c r="A25" s="276" t="s">
        <v>54</v>
      </c>
      <c r="B25" s="276" t="str">
        <f>'COMPOSIÇÕES SICRO'!A137</f>
        <v>SICRO 5901639</v>
      </c>
      <c r="C25" s="277" t="s">
        <v>55</v>
      </c>
      <c r="D25" s="276" t="str">
        <f>'COMPOSIÇÕES SICRO'!I136</f>
        <v>tkm</v>
      </c>
      <c r="E25" s="280">
        <f>E23*(2.063/1.5)*1.5*17</f>
        <v>157819.50000000003</v>
      </c>
      <c r="F25" s="281" t="s">
        <v>518</v>
      </c>
    </row>
    <row r="26" spans="1:6" s="267" customFormat="1" ht="48.75" customHeight="1">
      <c r="A26" s="276" t="s">
        <v>56</v>
      </c>
      <c r="B26" s="276" t="s">
        <v>77</v>
      </c>
      <c r="C26" s="277" t="s">
        <v>78</v>
      </c>
      <c r="D26" s="276" t="str">
        <f>'COMPOSIÇÃO PROJETO EXECUTIVO'!C20</f>
        <v>m²</v>
      </c>
      <c r="E26" s="280">
        <f>1000*6*5</f>
        <v>30000</v>
      </c>
      <c r="F26" s="281" t="s">
        <v>79</v>
      </c>
    </row>
    <row r="27" spans="1:6" s="267" customFormat="1" ht="48.75" customHeight="1">
      <c r="A27" s="276" t="s">
        <v>57</v>
      </c>
      <c r="B27" s="276" t="str">
        <f>'COMPOSIÇÕES ENSAIOS'!H4</f>
        <v>CPU - 04</v>
      </c>
      <c r="C27" s="277" t="s">
        <v>65</v>
      </c>
      <c r="D27" s="283" t="str">
        <f>'COMPOSIÇÕES ENSAIOS'!E5</f>
        <v>und</v>
      </c>
      <c r="E27" s="280">
        <f>2</f>
        <v>2</v>
      </c>
      <c r="F27" s="281" t="s">
        <v>80</v>
      </c>
    </row>
    <row r="28" spans="1:6" ht="36" customHeight="1">
      <c r="A28" s="276" t="s">
        <v>59</v>
      </c>
      <c r="B28" s="276" t="str">
        <f>'COMPOSIÇÕES SICRO'!A247</f>
        <v>SICRO 5213440</v>
      </c>
      <c r="C28" s="277" t="s">
        <v>81</v>
      </c>
      <c r="D28" s="283" t="s">
        <v>82</v>
      </c>
      <c r="E28" s="280">
        <f>14</f>
        <v>14</v>
      </c>
      <c r="F28" s="430" t="s">
        <v>516</v>
      </c>
    </row>
    <row r="29" spans="1:6" ht="42.75">
      <c r="A29" s="276" t="s">
        <v>60</v>
      </c>
      <c r="B29" s="276" t="str">
        <f>'COMPOSIÇÕES SICRO'!A276</f>
        <v>SICRO 5213863</v>
      </c>
      <c r="C29" s="277" t="s">
        <v>83</v>
      </c>
      <c r="D29" s="283" t="s">
        <v>82</v>
      </c>
      <c r="E29" s="280">
        <f>14</f>
        <v>14</v>
      </c>
      <c r="F29" s="430" t="s">
        <v>517</v>
      </c>
    </row>
  </sheetData>
  <mergeCells count="9">
    <mergeCell ref="B11:C11"/>
    <mergeCell ref="B12:C12"/>
    <mergeCell ref="B19:C19"/>
    <mergeCell ref="A5:F7"/>
    <mergeCell ref="C1:F1"/>
    <mergeCell ref="C2:F2"/>
    <mergeCell ref="C3:F3"/>
    <mergeCell ref="A9:B9"/>
    <mergeCell ref="C9:F9"/>
  </mergeCells>
  <pageMargins left="0.78749999999999998" right="0.23611111111111099" top="0.55138888888888904" bottom="0.55138888888888904" header="0.51180555555555496" footer="0.51180555555555496"/>
  <pageSetup paperSize="9" scale="63" firstPageNumber="0" fitToHeight="0" orientation="landscape" useFirstPageNumber="1" horizontalDpi="300" verticalDpi="30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59999389629810485"/>
  </sheetPr>
  <dimension ref="A1:H34"/>
  <sheetViews>
    <sheetView view="pageBreakPreview" zoomScale="115" zoomScaleNormal="140" zoomScaleSheetLayoutView="115" workbookViewId="0">
      <selection activeCell="B4" sqref="B4"/>
    </sheetView>
  </sheetViews>
  <sheetFormatPr defaultColWidth="9.140625" defaultRowHeight="15"/>
  <cols>
    <col min="1" max="1" width="9.140625" style="408"/>
    <col min="2" max="2" width="36.5703125" style="408" customWidth="1"/>
    <col min="3" max="3" width="37.28515625" style="408" customWidth="1"/>
    <col min="4" max="4" width="13" style="408" customWidth="1"/>
    <col min="5" max="5" width="29.5703125" style="408" customWidth="1"/>
    <col min="6" max="6" width="15.42578125" style="408" customWidth="1"/>
    <col min="7" max="7" width="17.42578125" style="408" customWidth="1"/>
    <col min="8" max="16384" width="9.140625" style="408"/>
  </cols>
  <sheetData>
    <row r="1" spans="1:8" ht="15.75">
      <c r="A1" s="546" t="s">
        <v>103</v>
      </c>
      <c r="B1" s="547"/>
      <c r="C1" s="547"/>
      <c r="D1" s="547"/>
      <c r="E1" s="547"/>
      <c r="F1" s="547"/>
      <c r="G1" s="548"/>
    </row>
    <row r="2" spans="1:8">
      <c r="A2" s="204"/>
      <c r="B2" s="205"/>
      <c r="C2" s="205"/>
      <c r="D2" s="205"/>
      <c r="E2" s="205"/>
      <c r="F2" s="207"/>
      <c r="G2" s="208"/>
    </row>
    <row r="3" spans="1:8">
      <c r="A3" s="549" t="s">
        <v>104</v>
      </c>
      <c r="B3" s="550"/>
      <c r="C3" s="425" t="s">
        <v>20</v>
      </c>
      <c r="D3" s="426" t="s">
        <v>64</v>
      </c>
      <c r="E3" s="425" t="s">
        <v>260</v>
      </c>
      <c r="F3" s="421" t="s">
        <v>505</v>
      </c>
      <c r="G3" s="422" t="s">
        <v>506</v>
      </c>
    </row>
    <row r="4" spans="1:8">
      <c r="A4" s="204"/>
      <c r="B4" s="205"/>
      <c r="C4" s="205"/>
      <c r="D4" s="205"/>
      <c r="E4" s="205"/>
      <c r="F4" s="209"/>
      <c r="G4" s="208"/>
    </row>
    <row r="5" spans="1:8" ht="21" customHeight="1">
      <c r="A5" s="743" t="s">
        <v>528</v>
      </c>
      <c r="B5" s="744"/>
      <c r="C5" s="744"/>
      <c r="D5" s="744"/>
      <c r="E5" s="744"/>
      <c r="F5" s="745"/>
      <c r="G5" s="746">
        <f>G6+G9</f>
        <v>3415.6800000000003</v>
      </c>
    </row>
    <row r="6" spans="1:8">
      <c r="A6" s="418" t="s">
        <v>478</v>
      </c>
      <c r="B6" s="420" t="s">
        <v>479</v>
      </c>
      <c r="C6" s="425"/>
      <c r="D6" s="425"/>
      <c r="E6" s="425"/>
      <c r="F6" s="424"/>
      <c r="G6" s="411">
        <f>G7+G8</f>
        <v>2588.8000000000002</v>
      </c>
    </row>
    <row r="7" spans="1:8" ht="30">
      <c r="A7" s="204"/>
      <c r="B7" s="407" t="str">
        <f>'CUSTOS SICRO - SINAPI - ORSE'!A49</f>
        <v>ENGENHEIRO CIVIL DE OBRA PLENO COM ENCARGOS COMPLEMENTARES</v>
      </c>
      <c r="C7" s="206" t="str">
        <f>'CUSTOS SICRO - SINAPI - ORSE'!E49</f>
        <v>H</v>
      </c>
      <c r="D7" s="409">
        <v>16</v>
      </c>
      <c r="E7" s="206" t="str">
        <f>'CUSTOS SICRO - SINAPI - ORSE'!D49</f>
        <v>SINAPI 90778</v>
      </c>
      <c r="F7" s="410">
        <f>'CUSTOS SICRO - SINAPI - ORSE'!F49</f>
        <v>117.25</v>
      </c>
      <c r="G7" s="411">
        <f>F7*D7</f>
        <v>1876</v>
      </c>
      <c r="H7" s="408" t="s">
        <v>106</v>
      </c>
    </row>
    <row r="8" spans="1:8" ht="30">
      <c r="A8" s="204"/>
      <c r="B8" s="407" t="str">
        <f>'CUSTOS SICRO - SINAPI - ORSE'!A57</f>
        <v>TOPÓGRAFO COM ENCARGOS COMPLEMENTARES</v>
      </c>
      <c r="C8" s="206" t="str">
        <f>'CUSTOS SICRO - SINAPI - ORSE'!E57</f>
        <v>H</v>
      </c>
      <c r="D8" s="409">
        <v>16</v>
      </c>
      <c r="E8" s="206" t="str">
        <f>'CUSTOS SICRO - SINAPI - ORSE'!D57</f>
        <v>SINAPI 90781</v>
      </c>
      <c r="F8" s="410">
        <f>'CUSTOS SICRO - SINAPI - ORSE'!F57</f>
        <v>44.55</v>
      </c>
      <c r="G8" s="411">
        <f t="shared" ref="G8:G11" si="0">F8*D8</f>
        <v>712.8</v>
      </c>
    </row>
    <row r="9" spans="1:8">
      <c r="A9" s="418" t="s">
        <v>480</v>
      </c>
      <c r="B9" s="420" t="s">
        <v>481</v>
      </c>
      <c r="C9" s="206"/>
      <c r="D9" s="409"/>
      <c r="E9" s="206"/>
      <c r="F9" s="206"/>
      <c r="G9" s="411">
        <f>G10+G11</f>
        <v>826.88</v>
      </c>
    </row>
    <row r="10" spans="1:8" ht="30">
      <c r="A10" s="204"/>
      <c r="B10" s="407" t="str">
        <f>'CUSTOS SICRO - SINAPI - ORSE'!A41</f>
        <v>AUXILIAR DE TOPÓGRAFO COM ENCARGOS COMPLEMENTARES</v>
      </c>
      <c r="C10" s="206" t="str">
        <f>'CUSTOS SICRO - SINAPI - ORSE'!E41</f>
        <v>H</v>
      </c>
      <c r="D10" s="409">
        <v>16</v>
      </c>
      <c r="E10" s="206" t="str">
        <f>'CUSTOS SICRO - SINAPI - ORSE'!D41</f>
        <v>SINAPI 88253</v>
      </c>
      <c r="F10" s="410">
        <f>'CUSTOS SICRO - SINAPI - ORSE'!F41</f>
        <v>21.11</v>
      </c>
      <c r="G10" s="411">
        <f t="shared" si="0"/>
        <v>337.76</v>
      </c>
    </row>
    <row r="11" spans="1:8" ht="30">
      <c r="A11" s="204"/>
      <c r="B11" s="407" t="str">
        <f>'CUSTOS SICRO - SINAPI - ORSE'!A46</f>
        <v>DESENHISTA TÉCNICO AUXILIAR (HORISTA)</v>
      </c>
      <c r="C11" s="206" t="str">
        <f>'CUSTOS SICRO - SINAPI - ORSE'!E46</f>
        <v>H</v>
      </c>
      <c r="D11" s="409">
        <v>16</v>
      </c>
      <c r="E11" s="206" t="str">
        <f>'CUSTOS SICRO - SINAPI - ORSE'!D46</f>
        <v>SINAPI 2359</v>
      </c>
      <c r="F11" s="410">
        <f>'CUSTOS SICRO - SINAPI - ORSE'!F46</f>
        <v>30.57</v>
      </c>
      <c r="G11" s="411">
        <f t="shared" si="0"/>
        <v>489.12</v>
      </c>
    </row>
    <row r="12" spans="1:8" ht="15.75">
      <c r="A12" s="743" t="s">
        <v>107</v>
      </c>
      <c r="B12" s="744"/>
      <c r="C12" s="744"/>
      <c r="D12" s="744"/>
      <c r="E12" s="744"/>
      <c r="F12" s="747"/>
      <c r="G12" s="746">
        <f>G13</f>
        <v>0</v>
      </c>
    </row>
    <row r="13" spans="1:8">
      <c r="A13" s="204"/>
      <c r="B13" s="205"/>
      <c r="C13" s="205" t="s">
        <v>108</v>
      </c>
      <c r="D13" s="205"/>
      <c r="E13" s="205"/>
      <c r="F13" s="210"/>
      <c r="G13" s="411"/>
    </row>
    <row r="14" spans="1:8" ht="15.75">
      <c r="A14" s="748" t="s">
        <v>109</v>
      </c>
      <c r="B14" s="749"/>
      <c r="C14" s="750"/>
      <c r="D14" s="750"/>
      <c r="E14" s="750"/>
      <c r="F14" s="747"/>
      <c r="G14" s="746">
        <f>G15+G16+G17+G18</f>
        <v>645.77039999999988</v>
      </c>
    </row>
    <row r="15" spans="1:8" ht="30">
      <c r="A15" s="418" t="s">
        <v>482</v>
      </c>
      <c r="B15" s="407" t="s">
        <v>486</v>
      </c>
      <c r="C15" s="407" t="s">
        <v>110</v>
      </c>
      <c r="D15" s="215">
        <v>0.03</v>
      </c>
      <c r="E15" s="215"/>
      <c r="F15" s="210">
        <f>G5+G13</f>
        <v>3415.6800000000003</v>
      </c>
      <c r="G15" s="411">
        <f>F15*D15</f>
        <v>102.4704</v>
      </c>
    </row>
    <row r="16" spans="1:8" ht="60">
      <c r="A16" s="418" t="s">
        <v>483</v>
      </c>
      <c r="B16" s="407" t="str">
        <f>'CUSTOS SICRO - SINAPI - ORSE'!A43</f>
        <v>CAMINHONETE CABINE SIMPLES COM MOTOR 1.6 FLEX, CÂMBIO MANUAL, POTÊNCIA 101/104 CV, 2 PORTAS - MATERIAIS NA OPERAÇÃO. AF_11/2015</v>
      </c>
      <c r="C16" s="205" t="str">
        <f>'CUSTOS SICRO - SINAPI - ORSE'!E43</f>
        <v>H</v>
      </c>
      <c r="D16" s="206">
        <v>8</v>
      </c>
      <c r="E16" s="206" t="str">
        <f>'CUSTOS SICRO - SINAPI - ORSE'!D43</f>
        <v>SINAPI 92144</v>
      </c>
      <c r="F16" s="412">
        <f>'CUSTOS SICRO - SINAPI - ORSE'!F43</f>
        <v>40.4</v>
      </c>
      <c r="G16" s="411">
        <f t="shared" ref="G16:G18" si="1">F16*D16</f>
        <v>323.2</v>
      </c>
    </row>
    <row r="17" spans="1:8" ht="30">
      <c r="A17" s="418" t="s">
        <v>484</v>
      </c>
      <c r="B17" s="407" t="str">
        <f>'CUSTOS SICRO - SINAPI - ORSE'!A50</f>
        <v>OLEO DIESEL COMBUSTIVEL COMUM METROPOLITANO S-10 OU S-500</v>
      </c>
      <c r="C17" s="205" t="str">
        <f>'CUSTOS SICRO - SINAPI - ORSE'!E50</f>
        <v>L</v>
      </c>
      <c r="D17" s="206">
        <v>30</v>
      </c>
      <c r="E17" s="206" t="str">
        <f>'CUSTOS SICRO - SINAPI - ORSE'!D50</f>
        <v>SINAPI 4221</v>
      </c>
      <c r="F17" s="412">
        <f>'CUSTOS SICRO - SINAPI - ORSE'!F50</f>
        <v>6.11</v>
      </c>
      <c r="G17" s="411">
        <f t="shared" si="1"/>
        <v>183.3</v>
      </c>
    </row>
    <row r="18" spans="1:8" ht="30">
      <c r="A18" s="418" t="s">
        <v>485</v>
      </c>
      <c r="B18" s="407" t="str">
        <f>'CUSTOS SICRO - SINAPI - ORSE'!A64</f>
        <v>Estação total eletrônica com alcance máximo de 3.000 m - SICRO</v>
      </c>
      <c r="C18" s="205" t="str">
        <f>'CUSTOS SICRO - SINAPI - ORSE'!E64</f>
        <v>H</v>
      </c>
      <c r="D18" s="206">
        <v>8</v>
      </c>
      <c r="E18" s="206" t="str">
        <f>'CUSTOS SICRO - SINAPI - ORSE'!D64</f>
        <v>14094/ORSE</v>
      </c>
      <c r="F18" s="412">
        <f>'CUSTOS SICRO - SINAPI - ORSE'!F64</f>
        <v>4.5999999999999996</v>
      </c>
      <c r="G18" s="411">
        <f t="shared" si="1"/>
        <v>36.799999999999997</v>
      </c>
    </row>
    <row r="19" spans="1:8" ht="15.75">
      <c r="A19" s="748" t="s">
        <v>113</v>
      </c>
      <c r="B19" s="749"/>
      <c r="C19" s="750"/>
      <c r="D19" s="750"/>
      <c r="E19" s="751"/>
      <c r="F19" s="752"/>
      <c r="G19" s="753">
        <f>G20</f>
        <v>544.5</v>
      </c>
    </row>
    <row r="20" spans="1:8">
      <c r="A20" s="429" t="s">
        <v>509</v>
      </c>
      <c r="B20" s="419" t="s">
        <v>510</v>
      </c>
      <c r="C20" s="423" t="s">
        <v>11</v>
      </c>
      <c r="D20" s="206">
        <v>3000</v>
      </c>
      <c r="E20" s="423" t="s">
        <v>114</v>
      </c>
      <c r="F20" s="210">
        <f>'COMPOSIÇÕES ENSAIOS'!H19</f>
        <v>0.18149999999999999</v>
      </c>
      <c r="G20" s="413">
        <f>F20*D20</f>
        <v>544.5</v>
      </c>
      <c r="H20" s="408" t="s">
        <v>115</v>
      </c>
    </row>
    <row r="21" spans="1:8">
      <c r="A21" s="551" t="s">
        <v>116</v>
      </c>
      <c r="B21" s="552"/>
      <c r="C21" s="212"/>
      <c r="D21" s="212"/>
      <c r="E21" s="213"/>
      <c r="F21" s="214"/>
      <c r="G21" s="414">
        <f>G5+G12+G14+G19</f>
        <v>4605.9503999999997</v>
      </c>
    </row>
    <row r="22" spans="1:8" s="439" customFormat="1">
      <c r="A22" s="553" t="s">
        <v>117</v>
      </c>
      <c r="B22" s="554"/>
      <c r="C22" s="434"/>
      <c r="D22" s="435">
        <f>BDI!D36</f>
        <v>0.21495489508516363</v>
      </c>
      <c r="E22" s="436"/>
      <c r="F22" s="437"/>
      <c r="G22" s="438">
        <f>D22*G21</f>
        <v>990.0715849994674</v>
      </c>
    </row>
    <row r="23" spans="1:8">
      <c r="A23" s="551" t="s">
        <v>118</v>
      </c>
      <c r="B23" s="552"/>
      <c r="C23" s="212"/>
      <c r="D23" s="212"/>
      <c r="E23" s="213"/>
      <c r="F23" s="214"/>
      <c r="G23" s="414">
        <f>SUM(G21:G22)</f>
        <v>5596.0219849994673</v>
      </c>
    </row>
    <row r="24" spans="1:8">
      <c r="A24" s="555" t="s">
        <v>119</v>
      </c>
      <c r="B24" s="556"/>
      <c r="C24" s="205" t="s">
        <v>120</v>
      </c>
      <c r="D24" s="215">
        <v>2.5000000000000001E-2</v>
      </c>
      <c r="E24" s="215"/>
      <c r="F24" s="216">
        <f>G23</f>
        <v>5596.0219849994673</v>
      </c>
      <c r="G24" s="411">
        <f>F24*D24</f>
        <v>139.9005496249867</v>
      </c>
    </row>
    <row r="25" spans="1:8">
      <c r="A25" s="555" t="s">
        <v>121</v>
      </c>
      <c r="B25" s="556"/>
      <c r="C25" s="205" t="s">
        <v>122</v>
      </c>
      <c r="D25" s="215">
        <v>3.7400000000000003E-2</v>
      </c>
      <c r="E25" s="215"/>
      <c r="F25" s="216">
        <f>D25*G24</f>
        <v>5.2322805559745031</v>
      </c>
      <c r="G25" s="415">
        <f>F25</f>
        <v>5.2322805559745031</v>
      </c>
    </row>
    <row r="26" spans="1:8">
      <c r="A26" s="555" t="s">
        <v>123</v>
      </c>
      <c r="B26" s="556"/>
      <c r="C26" s="205"/>
      <c r="D26" s="206"/>
      <c r="E26" s="206"/>
      <c r="F26" s="216"/>
      <c r="G26" s="411"/>
    </row>
    <row r="27" spans="1:8">
      <c r="A27" s="204"/>
      <c r="B27" s="205" t="s">
        <v>124</v>
      </c>
      <c r="C27" s="205"/>
      <c r="D27" s="215">
        <v>4.7500000000000001E-2</v>
      </c>
      <c r="E27" s="215"/>
      <c r="F27" s="216">
        <f>D27*F25</f>
        <v>0.24853332640878889</v>
      </c>
      <c r="G27" s="415">
        <f>F27</f>
        <v>0.24853332640878889</v>
      </c>
    </row>
    <row r="28" spans="1:8">
      <c r="A28" s="555" t="s">
        <v>125</v>
      </c>
      <c r="B28" s="556"/>
      <c r="C28" s="211"/>
      <c r="D28" s="215">
        <v>5.7700000000000001E-2</v>
      </c>
      <c r="E28" s="215"/>
      <c r="F28" s="216">
        <f>F24</f>
        <v>5596.0219849994673</v>
      </c>
      <c r="G28" s="411">
        <f>F28*D28</f>
        <v>322.89046853446928</v>
      </c>
    </row>
    <row r="29" spans="1:8">
      <c r="A29" s="551" t="s">
        <v>126</v>
      </c>
      <c r="B29" s="552"/>
      <c r="C29" s="212"/>
      <c r="D29" s="212"/>
      <c r="E29" s="213"/>
      <c r="F29" s="214"/>
      <c r="G29" s="414">
        <f>SUM(G24:G28)</f>
        <v>468.27183204183928</v>
      </c>
    </row>
    <row r="30" spans="1:8">
      <c r="A30" s="555" t="s">
        <v>127</v>
      </c>
      <c r="B30" s="556"/>
      <c r="C30" s="211"/>
      <c r="D30" s="215">
        <f>D22</f>
        <v>0.21495489508516363</v>
      </c>
      <c r="E30" s="215"/>
      <c r="F30" s="216"/>
      <c r="G30" s="411">
        <f>D30*G29</f>
        <v>100.65732252789093</v>
      </c>
    </row>
    <row r="31" spans="1:8">
      <c r="A31" s="551" t="s">
        <v>128</v>
      </c>
      <c r="B31" s="552"/>
      <c r="C31" s="212"/>
      <c r="D31" s="212"/>
      <c r="E31" s="212"/>
      <c r="F31" s="214"/>
      <c r="G31" s="414">
        <f>SUM(G29:G30)</f>
        <v>568.92915456973014</v>
      </c>
    </row>
    <row r="32" spans="1:8">
      <c r="A32" s="557" t="s">
        <v>129</v>
      </c>
      <c r="B32" s="558"/>
      <c r="C32" s="217"/>
      <c r="D32" s="217"/>
      <c r="E32" s="217"/>
      <c r="F32" s="218"/>
      <c r="G32" s="416">
        <f>G31+G23</f>
        <v>6164.951139569197</v>
      </c>
    </row>
    <row r="33" spans="1:7" s="417" customFormat="1">
      <c r="A33" s="219"/>
      <c r="B33" s="219"/>
      <c r="C33" s="219"/>
      <c r="D33" s="219"/>
      <c r="E33" s="219"/>
      <c r="F33" s="207"/>
      <c r="G33" s="207"/>
    </row>
    <row r="34" spans="1:7">
      <c r="A34" s="205"/>
      <c r="B34" s="205"/>
      <c r="C34" s="205"/>
      <c r="D34" s="205"/>
      <c r="E34" s="205"/>
      <c r="F34" s="433" t="s">
        <v>130</v>
      </c>
      <c r="G34" s="428">
        <f>ROUND(G32/(6000),4)</f>
        <v>1.0275000000000001</v>
      </c>
    </row>
  </sheetData>
  <mergeCells count="15">
    <mergeCell ref="A28:B28"/>
    <mergeCell ref="A29:B29"/>
    <mergeCell ref="A30:B30"/>
    <mergeCell ref="A31:B31"/>
    <mergeCell ref="A32:B32"/>
    <mergeCell ref="A22:B22"/>
    <mergeCell ref="A23:B23"/>
    <mergeCell ref="A24:B24"/>
    <mergeCell ref="A25:B25"/>
    <mergeCell ref="A26:B26"/>
    <mergeCell ref="A1:G1"/>
    <mergeCell ref="A3:B3"/>
    <mergeCell ref="A14:B14"/>
    <mergeCell ref="A19:B19"/>
    <mergeCell ref="A21:B21"/>
  </mergeCells>
  <pageMargins left="0.78740157480314965" right="0.78740157480314965" top="0.78740157480314965" bottom="0.78740157480314965" header="0.51181102362204722" footer="0.51181102362204722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59999389629810485"/>
    <pageSetUpPr fitToPage="1"/>
  </sheetPr>
  <dimension ref="A1:I308"/>
  <sheetViews>
    <sheetView view="pageBreakPreview" zoomScaleNormal="100" workbookViewId="0">
      <selection activeCell="A6" sqref="A6"/>
    </sheetView>
  </sheetViews>
  <sheetFormatPr defaultColWidth="9" defaultRowHeight="15"/>
  <cols>
    <col min="1" max="1" width="14.28515625" customWidth="1"/>
    <col min="2" max="2" width="62.28515625" customWidth="1"/>
    <col min="3" max="3" width="14.5703125" customWidth="1"/>
    <col min="4" max="4" width="13.42578125" customWidth="1"/>
    <col min="5" max="5" width="13.85546875" customWidth="1"/>
    <col min="6" max="7" width="16.5703125" customWidth="1"/>
    <col min="8" max="8" width="13.28515625" customWidth="1"/>
    <col min="9" max="9" width="19.85546875" customWidth="1"/>
  </cols>
  <sheetData>
    <row r="1" spans="1:9" ht="15.75">
      <c r="A1" s="559" t="s">
        <v>131</v>
      </c>
      <c r="B1" s="559"/>
      <c r="C1" s="559"/>
      <c r="D1" s="559"/>
      <c r="E1" s="559"/>
      <c r="F1" s="559"/>
      <c r="G1" s="559"/>
      <c r="H1" s="570"/>
      <c r="I1" s="570"/>
    </row>
    <row r="2" spans="1:9" ht="15.75">
      <c r="A2" s="559" t="s">
        <v>132</v>
      </c>
      <c r="B2" s="559"/>
      <c r="C2" s="559"/>
      <c r="D2" s="559"/>
      <c r="E2" s="559"/>
      <c r="F2" s="559"/>
      <c r="G2" s="559"/>
      <c r="H2" s="570"/>
      <c r="I2" s="570"/>
    </row>
    <row r="3" spans="1:9" ht="15.75">
      <c r="A3" s="559" t="s">
        <v>133</v>
      </c>
      <c r="B3" s="559"/>
      <c r="C3" s="559"/>
      <c r="D3" s="559"/>
      <c r="E3" s="559"/>
      <c r="F3" s="559"/>
      <c r="G3" s="559"/>
      <c r="H3" s="570"/>
      <c r="I3" s="570"/>
    </row>
    <row r="5" spans="1:9" ht="45" customHeight="1">
      <c r="A5" s="560" t="s">
        <v>519</v>
      </c>
      <c r="B5" s="561"/>
      <c r="C5" s="561"/>
      <c r="D5" s="561"/>
      <c r="E5" s="561"/>
      <c r="F5" s="561"/>
      <c r="G5" s="561"/>
      <c r="H5" s="561"/>
      <c r="I5" s="562"/>
    </row>
    <row r="7" spans="1:9" ht="23.25" customHeight="1">
      <c r="A7" s="173" t="s">
        <v>134</v>
      </c>
      <c r="B7" s="174"/>
      <c r="C7" s="174"/>
      <c r="D7" s="174"/>
      <c r="E7" s="174"/>
      <c r="F7" s="174"/>
      <c r="G7" s="174"/>
      <c r="H7" s="174"/>
      <c r="I7" s="194" t="s">
        <v>135</v>
      </c>
    </row>
    <row r="8" spans="1:9" ht="18.75" customHeight="1">
      <c r="A8" s="175" t="s">
        <v>136</v>
      </c>
      <c r="B8" s="176"/>
      <c r="C8" s="176"/>
      <c r="D8" s="175" t="s">
        <v>137</v>
      </c>
      <c r="E8" s="176"/>
      <c r="F8" s="176"/>
      <c r="G8" s="176"/>
      <c r="H8" s="176"/>
      <c r="I8" s="176"/>
    </row>
    <row r="9" spans="1:9" ht="15.75" customHeight="1">
      <c r="A9" s="177" t="s">
        <v>138</v>
      </c>
      <c r="B9" s="176"/>
      <c r="C9" s="176"/>
      <c r="D9" s="432" t="s">
        <v>514</v>
      </c>
      <c r="E9" s="176"/>
      <c r="F9" s="176"/>
      <c r="G9" s="178" t="s">
        <v>139</v>
      </c>
      <c r="H9" s="179">
        <v>10</v>
      </c>
      <c r="I9" s="177" t="s">
        <v>140</v>
      </c>
    </row>
    <row r="10" spans="1:9" ht="38.25" customHeight="1">
      <c r="A10" s="180" t="s">
        <v>141</v>
      </c>
      <c r="B10" s="563" t="s">
        <v>142</v>
      </c>
      <c r="C10" s="563"/>
      <c r="D10" s="563"/>
      <c r="E10" s="563"/>
      <c r="F10" s="563"/>
      <c r="G10" s="563"/>
      <c r="H10" s="564" t="s">
        <v>143</v>
      </c>
      <c r="I10" s="564"/>
    </row>
    <row r="11" spans="1:9" ht="15.75" customHeight="1">
      <c r="A11" s="569" t="s">
        <v>144</v>
      </c>
      <c r="B11" s="569"/>
      <c r="C11" s="565" t="s">
        <v>8</v>
      </c>
      <c r="D11" s="565" t="s">
        <v>145</v>
      </c>
      <c r="E11" s="565"/>
      <c r="F11" s="565" t="s">
        <v>146</v>
      </c>
      <c r="G11" s="565"/>
      <c r="H11" s="176"/>
      <c r="I11" s="195" t="s">
        <v>147</v>
      </c>
    </row>
    <row r="12" spans="1:9" ht="15.75" customHeight="1">
      <c r="A12" s="569"/>
      <c r="B12" s="569"/>
      <c r="C12" s="565"/>
      <c r="D12" s="182" t="s">
        <v>148</v>
      </c>
      <c r="E12" s="182" t="s">
        <v>149</v>
      </c>
      <c r="F12" s="182" t="s">
        <v>150</v>
      </c>
      <c r="G12" s="182" t="s">
        <v>151</v>
      </c>
      <c r="H12" s="183"/>
      <c r="I12" s="182" t="s">
        <v>152</v>
      </c>
    </row>
    <row r="13" spans="1:9" ht="24.95" customHeight="1">
      <c r="A13" s="183"/>
      <c r="B13" s="183"/>
      <c r="C13" s="183"/>
      <c r="D13" s="183"/>
      <c r="E13" s="183"/>
      <c r="F13" s="183"/>
      <c r="G13" s="184" t="s">
        <v>153</v>
      </c>
      <c r="H13" s="183"/>
      <c r="I13" s="196"/>
    </row>
    <row r="14" spans="1:9" ht="15.75" customHeight="1">
      <c r="A14" s="181" t="s">
        <v>154</v>
      </c>
      <c r="B14" s="183"/>
      <c r="C14" s="182" t="s">
        <v>8</v>
      </c>
      <c r="D14" s="182" t="s">
        <v>7</v>
      </c>
      <c r="E14" s="183"/>
      <c r="F14" s="182" t="s">
        <v>146</v>
      </c>
      <c r="G14" s="566" t="s">
        <v>155</v>
      </c>
      <c r="H14" s="566"/>
      <c r="I14" s="566"/>
    </row>
    <row r="15" spans="1:9">
      <c r="A15" s="185" t="str">
        <f>'CUSTOS SICRO - SINAPI - ORSE'!D32</f>
        <v>P9824</v>
      </c>
      <c r="B15" s="186" t="str">
        <f>'CUSTOS SICRO - SINAPI - ORSE'!A32</f>
        <v>Servente</v>
      </c>
      <c r="C15" s="187">
        <v>4</v>
      </c>
      <c r="D15" s="185" t="s">
        <v>105</v>
      </c>
      <c r="E15" s="176"/>
      <c r="F15" s="188">
        <f>'CUSTOS SICRO - SINAPI - ORSE'!F32</f>
        <v>21.6083</v>
      </c>
      <c r="G15" s="176"/>
      <c r="H15" s="176"/>
      <c r="I15" s="188">
        <f>ROUNDDOWN(C15*F15,24)</f>
        <v>86.433199999999999</v>
      </c>
    </row>
    <row r="16" spans="1:9" ht="15.75" customHeight="1">
      <c r="A16" s="176"/>
      <c r="B16" s="176"/>
      <c r="C16" s="567" t="s">
        <v>156</v>
      </c>
      <c r="D16" s="567"/>
      <c r="E16" s="567"/>
      <c r="F16" s="567"/>
      <c r="G16" s="567"/>
      <c r="H16" s="176"/>
      <c r="I16" s="188">
        <f>SUM(I15)</f>
        <v>86.433199999999999</v>
      </c>
    </row>
    <row r="17" spans="1:9" ht="15.75" customHeight="1">
      <c r="A17" s="183"/>
      <c r="B17" s="183"/>
      <c r="C17" s="566" t="s">
        <v>157</v>
      </c>
      <c r="D17" s="566"/>
      <c r="E17" s="566"/>
      <c r="F17" s="566"/>
      <c r="G17" s="566"/>
      <c r="H17" s="183"/>
      <c r="I17" s="197">
        <f>SUM(I16)</f>
        <v>86.433199999999999</v>
      </c>
    </row>
    <row r="18" spans="1:9" ht="15.75" customHeight="1">
      <c r="A18" s="176"/>
      <c r="B18" s="176"/>
      <c r="C18" s="567" t="s">
        <v>158</v>
      </c>
      <c r="D18" s="567"/>
      <c r="E18" s="567"/>
      <c r="F18" s="567"/>
      <c r="G18" s="567"/>
      <c r="H18" s="176"/>
      <c r="I18" s="198">
        <f>ROUNDDOWN(I17/H9,4)</f>
        <v>8.6433</v>
      </c>
    </row>
    <row r="19" spans="1:9" ht="15.75" customHeight="1">
      <c r="A19" s="176"/>
      <c r="B19" s="176"/>
      <c r="C19" s="176"/>
      <c r="D19" s="176"/>
      <c r="E19" s="176"/>
      <c r="F19" s="176"/>
      <c r="G19" s="189" t="s">
        <v>159</v>
      </c>
      <c r="H19" s="176"/>
      <c r="I19" s="199" t="s">
        <v>160</v>
      </c>
    </row>
    <row r="20" spans="1:9" ht="15.75" customHeight="1">
      <c r="A20" s="183"/>
      <c r="B20" s="183"/>
      <c r="C20" s="183"/>
      <c r="D20" s="183"/>
      <c r="E20" s="183"/>
      <c r="F20" s="183"/>
      <c r="G20" s="184" t="s">
        <v>161</v>
      </c>
      <c r="H20" s="183"/>
      <c r="I20" s="197" t="s">
        <v>160</v>
      </c>
    </row>
    <row r="21" spans="1:9" ht="15.75" customHeight="1">
      <c r="A21" s="181" t="s">
        <v>162</v>
      </c>
      <c r="B21" s="183"/>
      <c r="C21" s="182" t="s">
        <v>8</v>
      </c>
      <c r="D21" s="182" t="s">
        <v>7</v>
      </c>
      <c r="E21" s="183"/>
      <c r="F21" s="182" t="s">
        <v>9</v>
      </c>
      <c r="G21" s="566" t="s">
        <v>163</v>
      </c>
      <c r="H21" s="566"/>
      <c r="I21" s="566"/>
    </row>
    <row r="22" spans="1:9">
      <c r="A22" s="185" t="str">
        <f>'CUSTOS SICRO - SINAPI - ORSE'!D6</f>
        <v>M0069</v>
      </c>
      <c r="B22" s="186" t="str">
        <f>'CUSTOS SICRO - SINAPI - ORSE'!A6</f>
        <v>Arame farpado em aço galvanizado - D = 1,60 mm</v>
      </c>
      <c r="C22" s="187">
        <v>4</v>
      </c>
      <c r="D22" s="185" t="s">
        <v>140</v>
      </c>
      <c r="E22" s="176"/>
      <c r="F22" s="188">
        <f>'CUSTOS SICRO - SINAPI - ORSE'!F6</f>
        <v>0.82699999999999996</v>
      </c>
      <c r="G22" s="176"/>
      <c r="H22" s="176"/>
      <c r="I22" s="188">
        <f>ROUNDDOWN(C22*F22,24)</f>
        <v>3.3079999999999998</v>
      </c>
    </row>
    <row r="23" spans="1:9" ht="28.5">
      <c r="A23" s="185" t="str">
        <f>'CUSTOS SICRO - SINAPI - ORSE'!D20</f>
        <v>M0745</v>
      </c>
      <c r="B23" s="186" t="str">
        <f>'CUSTOS SICRO - SINAPI - ORSE'!A20</f>
        <v>Grampo em aço galvanizado para cerca - C = 25,4 mm e E = 3,76 mm (1" x 9 BWG)</v>
      </c>
      <c r="C23" s="187">
        <v>8.2500000000000004E-3</v>
      </c>
      <c r="D23" s="185" t="s">
        <v>164</v>
      </c>
      <c r="E23" s="176"/>
      <c r="F23" s="188">
        <f>'CUSTOS SICRO - SINAPI - ORSE'!F20</f>
        <v>11.419600000000001</v>
      </c>
      <c r="G23" s="176"/>
      <c r="H23" s="176"/>
      <c r="I23" s="188">
        <f>ROUNDDOWN(C23*F23,24)</f>
        <v>9.4211699999999995E-2</v>
      </c>
    </row>
    <row r="24" spans="1:9">
      <c r="A24" s="185" t="str">
        <f>'CUSTOS SICRO - SINAPI - ORSE'!D24</f>
        <v>M1638</v>
      </c>
      <c r="B24" s="186" t="str">
        <f>'CUSTOS SICRO - SINAPI - ORSE'!A24</f>
        <v>Mourão de madeira - H = 2,10 m e D = 0,10 m</v>
      </c>
      <c r="C24" s="187">
        <v>0.42</v>
      </c>
      <c r="D24" s="185" t="s">
        <v>165</v>
      </c>
      <c r="E24" s="176"/>
      <c r="F24" s="188">
        <f>'CUSTOS SICRO - SINAPI - ORSE'!F24</f>
        <v>22</v>
      </c>
      <c r="G24" s="176"/>
      <c r="H24" s="176"/>
      <c r="I24" s="188">
        <f>ROUNDDOWN(C24*F24,24)</f>
        <v>9.24</v>
      </c>
    </row>
    <row r="25" spans="1:9">
      <c r="A25" s="185" t="str">
        <f>'CUSTOS SICRO - SINAPI - ORSE'!D26</f>
        <v>M1639</v>
      </c>
      <c r="B25" s="186" t="str">
        <f>'CUSTOS SICRO - SINAPI - ORSE'!A26</f>
        <v>Mourão de madeira - H = 2,20 m e D = 0,15 m</v>
      </c>
      <c r="C25" s="187">
        <v>0.02</v>
      </c>
      <c r="D25" s="185" t="s">
        <v>165</v>
      </c>
      <c r="E25" s="176"/>
      <c r="F25" s="188">
        <f>'CUSTOS SICRO - SINAPI - ORSE'!F26</f>
        <v>45.150599999999997</v>
      </c>
      <c r="G25" s="176"/>
      <c r="H25" s="176"/>
      <c r="I25" s="188">
        <f>ROUNDDOWN(C25*F25,24)</f>
        <v>0.90301200000000004</v>
      </c>
    </row>
    <row r="26" spans="1:9" ht="15.75" customHeight="1">
      <c r="A26" s="183"/>
      <c r="B26" s="183"/>
      <c r="C26" s="566" t="s">
        <v>166</v>
      </c>
      <c r="D26" s="566"/>
      <c r="E26" s="566"/>
      <c r="F26" s="566"/>
      <c r="G26" s="566"/>
      <c r="H26" s="183"/>
      <c r="I26" s="196">
        <f>ROUNDDOWN(I22+I23+I24+I25,4)</f>
        <v>13.545199999999999</v>
      </c>
    </row>
    <row r="27" spans="1:9" ht="15.75" customHeight="1">
      <c r="A27" s="181" t="s">
        <v>167</v>
      </c>
      <c r="B27" s="183"/>
      <c r="C27" s="182" t="s">
        <v>8</v>
      </c>
      <c r="D27" s="182" t="s">
        <v>7</v>
      </c>
      <c r="E27" s="183"/>
      <c r="F27" s="182" t="s">
        <v>163</v>
      </c>
      <c r="G27" s="566" t="s">
        <v>163</v>
      </c>
      <c r="H27" s="566"/>
      <c r="I27" s="566"/>
    </row>
    <row r="28" spans="1:9" ht="24.95" customHeight="1">
      <c r="A28" s="183"/>
      <c r="B28" s="183"/>
      <c r="C28" s="566" t="s">
        <v>168</v>
      </c>
      <c r="D28" s="566"/>
      <c r="E28" s="566"/>
      <c r="F28" s="566"/>
      <c r="G28" s="566"/>
      <c r="H28" s="183"/>
      <c r="I28" s="196"/>
    </row>
    <row r="29" spans="1:9" ht="15.75" customHeight="1">
      <c r="A29" s="183"/>
      <c r="B29" s="183"/>
      <c r="C29" s="183"/>
      <c r="D29" s="183"/>
      <c r="E29" s="183"/>
      <c r="F29" s="183"/>
      <c r="G29" s="184" t="s">
        <v>169</v>
      </c>
      <c r="H29" s="183"/>
      <c r="I29" s="197">
        <f>ROUNDDOWN(I18+I26,4)</f>
        <v>22.188500000000001</v>
      </c>
    </row>
    <row r="30" spans="1:9" ht="15.75" customHeight="1">
      <c r="A30" s="181" t="s">
        <v>170</v>
      </c>
      <c r="B30" s="183"/>
      <c r="C30" s="182" t="s">
        <v>171</v>
      </c>
      <c r="D30" s="182" t="s">
        <v>8</v>
      </c>
      <c r="E30" s="182" t="s">
        <v>7</v>
      </c>
      <c r="F30" s="183"/>
      <c r="G30" s="182" t="s">
        <v>163</v>
      </c>
      <c r="H30" s="566" t="s">
        <v>163</v>
      </c>
      <c r="I30" s="566"/>
    </row>
    <row r="31" spans="1:9" ht="28.5">
      <c r="A31" s="185">
        <f>'CUSTOS SICRO - SINAPI - ORSE'!D7</f>
        <v>5914655</v>
      </c>
      <c r="B31" s="186" t="s">
        <v>172</v>
      </c>
      <c r="C31" s="185" t="s">
        <v>173</v>
      </c>
      <c r="D31" s="187">
        <v>2.0000000000000001E-4</v>
      </c>
      <c r="E31" s="185" t="s">
        <v>174</v>
      </c>
      <c r="F31" s="176"/>
      <c r="G31" s="188">
        <f>'CUSTOS SICRO - SINAPI - ORSE'!F7</f>
        <v>31.89</v>
      </c>
      <c r="H31" s="176"/>
      <c r="I31" s="188">
        <f>ROUNDUP(D31*G31,4)</f>
        <v>6.4000000000000003E-3</v>
      </c>
    </row>
    <row r="32" spans="1:9" ht="28.5">
      <c r="A32" s="185">
        <f>'CUSTOS SICRO - SINAPI - ORSE'!D21</f>
        <v>5914655</v>
      </c>
      <c r="B32" s="186" t="s">
        <v>175</v>
      </c>
      <c r="C32" s="185" t="s">
        <v>173</v>
      </c>
      <c r="D32" s="187">
        <v>1.0000000000000001E-5</v>
      </c>
      <c r="E32" s="185" t="s">
        <v>174</v>
      </c>
      <c r="F32" s="176"/>
      <c r="G32" s="188">
        <f>'CUSTOS SICRO - SINAPI - ORSE'!F21</f>
        <v>31.89</v>
      </c>
      <c r="H32" s="176"/>
      <c r="I32" s="188">
        <f>ROUNDDOWN(D32*G32,4)</f>
        <v>2.9999999999999997E-4</v>
      </c>
    </row>
    <row r="33" spans="1:9" ht="28.5">
      <c r="A33" s="185">
        <f>'CUSTOS SICRO - SINAPI - ORSE'!D25</f>
        <v>5914655</v>
      </c>
      <c r="B33" s="186" t="s">
        <v>176</v>
      </c>
      <c r="C33" s="185" t="s">
        <v>173</v>
      </c>
      <c r="D33" s="187">
        <v>6.9300000000000004E-3</v>
      </c>
      <c r="E33" s="185" t="s">
        <v>174</v>
      </c>
      <c r="F33" s="176"/>
      <c r="G33" s="188">
        <f>'CUSTOS SICRO - SINAPI - ORSE'!F25</f>
        <v>31.89</v>
      </c>
      <c r="H33" s="176"/>
      <c r="I33" s="188">
        <f>ROUNDUP(D33*G33,4)</f>
        <v>0.221</v>
      </c>
    </row>
    <row r="34" spans="1:9" ht="28.5">
      <c r="A34" s="185">
        <f>'CUSTOS SICRO - SINAPI - ORSE'!D27</f>
        <v>5914655</v>
      </c>
      <c r="B34" s="186" t="s">
        <v>177</v>
      </c>
      <c r="C34" s="185" t="s">
        <v>173</v>
      </c>
      <c r="D34" s="187">
        <v>7.7999999999999999E-4</v>
      </c>
      <c r="E34" s="185" t="s">
        <v>174</v>
      </c>
      <c r="F34" s="176"/>
      <c r="G34" s="188">
        <f>'CUSTOS SICRO - SINAPI - ORSE'!F27</f>
        <v>31.89</v>
      </c>
      <c r="H34" s="176"/>
      <c r="I34" s="188">
        <f>ROUNDDOWN(D34*G34,4)</f>
        <v>2.4799999999999999E-2</v>
      </c>
    </row>
    <row r="35" spans="1:9" ht="24.95" customHeight="1">
      <c r="A35" s="183"/>
      <c r="B35" s="183"/>
      <c r="C35" s="566" t="s">
        <v>178</v>
      </c>
      <c r="D35" s="566"/>
      <c r="E35" s="566"/>
      <c r="F35" s="566"/>
      <c r="G35" s="566"/>
      <c r="H35" s="183"/>
      <c r="I35" s="197">
        <f>ROUNDDOWN(I31+I32+I33+I34,4)</f>
        <v>0.2525</v>
      </c>
    </row>
    <row r="36" spans="1:9" ht="15.75" customHeight="1">
      <c r="A36" s="569" t="s">
        <v>179</v>
      </c>
      <c r="B36" s="569"/>
      <c r="C36" s="565" t="s">
        <v>8</v>
      </c>
      <c r="D36" s="565" t="s">
        <v>7</v>
      </c>
      <c r="E36" s="565" t="s">
        <v>180</v>
      </c>
      <c r="F36" s="565"/>
      <c r="G36" s="565"/>
      <c r="H36" s="176"/>
      <c r="I36" s="566" t="s">
        <v>163</v>
      </c>
    </row>
    <row r="37" spans="1:9" ht="15.75" customHeight="1">
      <c r="A37" s="569"/>
      <c r="B37" s="569"/>
      <c r="C37" s="565"/>
      <c r="D37" s="565"/>
      <c r="E37" s="182" t="s">
        <v>181</v>
      </c>
      <c r="F37" s="182" t="s">
        <v>182</v>
      </c>
      <c r="G37" s="182" t="s">
        <v>183</v>
      </c>
      <c r="H37" s="183"/>
      <c r="I37" s="566"/>
    </row>
    <row r="38" spans="1:9" ht="28.5">
      <c r="A38" s="185">
        <f t="shared" ref="A38:B41" si="0">A31</f>
        <v>5914655</v>
      </c>
      <c r="B38" s="186" t="str">
        <f t="shared" si="0"/>
        <v>Arame farpado em aço galvanizado - D = 1,60 mm - Caminhão carroceria 15 t</v>
      </c>
      <c r="C38" s="187">
        <v>2.0000000000000001E-4</v>
      </c>
      <c r="D38" s="185" t="s">
        <v>184</v>
      </c>
      <c r="E38" s="185" t="s">
        <v>185</v>
      </c>
      <c r="F38" s="185" t="s">
        <v>186</v>
      </c>
      <c r="G38" s="185" t="s">
        <v>187</v>
      </c>
      <c r="H38" s="176"/>
      <c r="I38" s="176"/>
    </row>
    <row r="39" spans="1:9" ht="28.5">
      <c r="A39" s="185">
        <f t="shared" si="0"/>
        <v>5914655</v>
      </c>
      <c r="B39" s="186" t="str">
        <f t="shared" si="0"/>
        <v>Grampo em aço galvanizado para cerca - C = 25,4 mm e E = 3,76 mm (1" x 9 BWG) - Caminhão carroceria 15 t</v>
      </c>
      <c r="C39" s="187">
        <v>1.0000000000000001E-5</v>
      </c>
      <c r="D39" s="185" t="s">
        <v>184</v>
      </c>
      <c r="E39" s="185" t="s">
        <v>185</v>
      </c>
      <c r="F39" s="185" t="s">
        <v>186</v>
      </c>
      <c r="G39" s="185" t="s">
        <v>187</v>
      </c>
      <c r="H39" s="176"/>
      <c r="I39" s="176"/>
    </row>
    <row r="40" spans="1:9" ht="28.5">
      <c r="A40" s="185">
        <f t="shared" si="0"/>
        <v>5914655</v>
      </c>
      <c r="B40" s="186" t="str">
        <f t="shared" si="0"/>
        <v>Mourão de madeira - H = 2,10 m e D = 0,10 m - Caminhão carroceria 15 t</v>
      </c>
      <c r="C40" s="187">
        <v>6.9300000000000004E-3</v>
      </c>
      <c r="D40" s="185" t="s">
        <v>184</v>
      </c>
      <c r="E40" s="185" t="s">
        <v>185</v>
      </c>
      <c r="F40" s="185" t="s">
        <v>186</v>
      </c>
      <c r="G40" s="185" t="s">
        <v>187</v>
      </c>
      <c r="H40" s="176"/>
      <c r="I40" s="176"/>
    </row>
    <row r="41" spans="1:9" ht="28.5">
      <c r="A41" s="185">
        <f t="shared" si="0"/>
        <v>5914655</v>
      </c>
      <c r="B41" s="186" t="str">
        <f t="shared" si="0"/>
        <v>Mourão de madeira - H = 2,20 m e D = 0,15 m - Caminhão carroceria 15 t</v>
      </c>
      <c r="C41" s="187">
        <v>7.7999999999999999E-4</v>
      </c>
      <c r="D41" s="185" t="s">
        <v>184</v>
      </c>
      <c r="E41" s="185" t="s">
        <v>185</v>
      </c>
      <c r="F41" s="185" t="s">
        <v>186</v>
      </c>
      <c r="G41" s="185" t="s">
        <v>187</v>
      </c>
      <c r="H41" s="176"/>
      <c r="I41" s="176"/>
    </row>
    <row r="42" spans="1:9" ht="24.95" customHeight="1">
      <c r="A42" s="176"/>
      <c r="B42" s="176"/>
      <c r="C42" s="567" t="s">
        <v>188</v>
      </c>
      <c r="D42" s="567"/>
      <c r="E42" s="567"/>
      <c r="F42" s="567"/>
      <c r="G42" s="567"/>
      <c r="H42" s="176"/>
      <c r="I42" s="176"/>
    </row>
    <row r="43" spans="1:9" ht="15.75" customHeight="1">
      <c r="A43" s="190"/>
      <c r="B43" s="190"/>
      <c r="C43" s="190"/>
      <c r="D43" s="190"/>
      <c r="E43" s="568" t="s">
        <v>189</v>
      </c>
      <c r="F43" s="568"/>
      <c r="G43" s="568"/>
      <c r="H43" s="190"/>
      <c r="I43" s="200">
        <f>ROUND(I29+I35,4)</f>
        <v>22.440999999999999</v>
      </c>
    </row>
    <row r="45" spans="1:9" ht="23.25" customHeight="1">
      <c r="A45" s="173" t="s">
        <v>134</v>
      </c>
      <c r="B45" s="174"/>
      <c r="C45" s="174"/>
      <c r="D45" s="174"/>
      <c r="E45" s="174"/>
      <c r="F45" s="174"/>
      <c r="G45" s="174"/>
      <c r="H45" s="174"/>
      <c r="I45" s="194" t="s">
        <v>135</v>
      </c>
    </row>
    <row r="46" spans="1:9" ht="18.75" customHeight="1">
      <c r="A46" s="175" t="s">
        <v>136</v>
      </c>
      <c r="B46" s="176"/>
      <c r="C46" s="176"/>
      <c r="D46" s="175" t="s">
        <v>137</v>
      </c>
      <c r="E46" s="176"/>
      <c r="F46" s="176"/>
      <c r="G46" s="191" t="s">
        <v>190</v>
      </c>
      <c r="H46" s="192">
        <v>1.4250000000000001E-2</v>
      </c>
      <c r="I46" s="176"/>
    </row>
    <row r="47" spans="1:9" ht="15.75" customHeight="1">
      <c r="A47" s="177" t="s">
        <v>138</v>
      </c>
      <c r="B47" s="176"/>
      <c r="C47" s="176"/>
      <c r="D47" s="432" t="s">
        <v>514</v>
      </c>
      <c r="E47" s="176"/>
      <c r="F47" s="176"/>
      <c r="G47" s="178" t="s">
        <v>139</v>
      </c>
      <c r="H47" s="179">
        <v>168.2</v>
      </c>
      <c r="I47" s="177" t="s">
        <v>191</v>
      </c>
    </row>
    <row r="48" spans="1:9" ht="30" customHeight="1">
      <c r="A48" s="180" t="s">
        <v>192</v>
      </c>
      <c r="B48" s="563" t="s">
        <v>193</v>
      </c>
      <c r="C48" s="563"/>
      <c r="D48" s="563"/>
      <c r="E48" s="563"/>
      <c r="F48" s="563"/>
      <c r="G48" s="563"/>
      <c r="H48" s="564" t="s">
        <v>143</v>
      </c>
      <c r="I48" s="564"/>
    </row>
    <row r="49" spans="1:9" ht="15.75" customHeight="1">
      <c r="A49" s="569" t="s">
        <v>144</v>
      </c>
      <c r="B49" s="569"/>
      <c r="C49" s="565" t="s">
        <v>8</v>
      </c>
      <c r="D49" s="565" t="s">
        <v>145</v>
      </c>
      <c r="E49" s="565"/>
      <c r="F49" s="565" t="s">
        <v>146</v>
      </c>
      <c r="G49" s="565"/>
      <c r="H49" s="176"/>
      <c r="I49" s="195" t="s">
        <v>147</v>
      </c>
    </row>
    <row r="50" spans="1:9" ht="15.75" customHeight="1">
      <c r="A50" s="569"/>
      <c r="B50" s="569"/>
      <c r="C50" s="565"/>
      <c r="D50" s="182" t="s">
        <v>148</v>
      </c>
      <c r="E50" s="182" t="s">
        <v>149</v>
      </c>
      <c r="F50" s="182" t="s">
        <v>150</v>
      </c>
      <c r="G50" s="182" t="s">
        <v>151</v>
      </c>
      <c r="H50" s="183"/>
      <c r="I50" s="182" t="s">
        <v>152</v>
      </c>
    </row>
    <row r="51" spans="1:9">
      <c r="A51" s="185" t="str">
        <f>'CUSTOS SICRO - SINAPI - ORSE'!D10</f>
        <v>E9571</v>
      </c>
      <c r="B51" s="186" t="str">
        <f>'CUSTOS SICRO - SINAPI - ORSE'!A10</f>
        <v>Caminhão tanque com capacidade de 10.000 l - 188 kW</v>
      </c>
      <c r="C51" s="187">
        <v>1</v>
      </c>
      <c r="D51" s="193">
        <v>0.93</v>
      </c>
      <c r="E51" s="193">
        <v>7.0000000000000007E-2</v>
      </c>
      <c r="F51" s="188">
        <f>'CUSTOS SICRO - SINAPI - ORSE'!F10</f>
        <v>298.26069999999999</v>
      </c>
      <c r="G51" s="188">
        <f>'CUSTOS SICRO - SINAPI - ORSE'!G10</f>
        <v>89.097099999999998</v>
      </c>
      <c r="H51" s="176"/>
      <c r="I51" s="188">
        <f t="shared" ref="I51:I56" si="1">ROUND(((D51*F51)+(E51*G51))*C51,4)</f>
        <v>283.61919999999998</v>
      </c>
    </row>
    <row r="52" spans="1:9">
      <c r="A52" s="185" t="str">
        <f>'CUSTOS SICRO - SINAPI - ORSE'!D19</f>
        <v>E9518</v>
      </c>
      <c r="B52" s="186" t="str">
        <f>'CUSTOS SICRO - SINAPI - ORSE'!A19</f>
        <v>Grade de 24 discos rebocável de D = 60 cm (24")</v>
      </c>
      <c r="C52" s="187">
        <v>1</v>
      </c>
      <c r="D52" s="193">
        <v>0.52</v>
      </c>
      <c r="E52" s="193">
        <v>0.48</v>
      </c>
      <c r="F52" s="188">
        <f>'CUSTOS SICRO - SINAPI - ORSE'!F19</f>
        <v>4.8484999999999996</v>
      </c>
      <c r="G52" s="188">
        <f>'CUSTOS SICRO - SINAPI - ORSE'!G19</f>
        <v>3.3763999999999998</v>
      </c>
      <c r="H52" s="176"/>
      <c r="I52" s="188">
        <f t="shared" si="1"/>
        <v>4.1418999999999997</v>
      </c>
    </row>
    <row r="53" spans="1:9">
      <c r="A53" s="185" t="str">
        <f>'CUSTOS SICRO - SINAPI - ORSE'!D23</f>
        <v>E9524</v>
      </c>
      <c r="B53" s="186" t="str">
        <f>'CUSTOS SICRO - SINAPI - ORSE'!A23</f>
        <v>Motoniveladora - 93 kW</v>
      </c>
      <c r="C53" s="187">
        <v>1</v>
      </c>
      <c r="D53" s="193">
        <v>0.74</v>
      </c>
      <c r="E53" s="193">
        <v>0.26</v>
      </c>
      <c r="F53" s="188">
        <f>'CUSTOS SICRO - SINAPI - ORSE'!F23</f>
        <v>279.14210000000003</v>
      </c>
      <c r="G53" s="188">
        <f>'CUSTOS SICRO - SINAPI - ORSE'!G23</f>
        <v>130.55009999999999</v>
      </c>
      <c r="H53" s="176"/>
      <c r="I53" s="188">
        <f t="shared" si="1"/>
        <v>240.50819999999999</v>
      </c>
    </row>
    <row r="54" spans="1:9">
      <c r="A54" s="185" t="str">
        <f>'CUSTOS SICRO - SINAPI - ORSE'!D30</f>
        <v>E9762</v>
      </c>
      <c r="B54" s="186" t="str">
        <f>'CUSTOS SICRO - SINAPI - ORSE'!A30</f>
        <v>Rolo compactador de pneus autopropelido de 27 t - 85 kW</v>
      </c>
      <c r="C54" s="187">
        <v>1</v>
      </c>
      <c r="D54" s="193">
        <v>0.72</v>
      </c>
      <c r="E54" s="193">
        <v>0.28000000000000003</v>
      </c>
      <c r="F54" s="188">
        <f>'CUSTOS SICRO - SINAPI - ORSE'!F30</f>
        <v>241.52109999999999</v>
      </c>
      <c r="G54" s="188">
        <f>'CUSTOS SICRO - SINAPI - ORSE'!G30</f>
        <v>125.0121</v>
      </c>
      <c r="H54" s="176"/>
      <c r="I54" s="188">
        <f t="shared" si="1"/>
        <v>208.89859999999999</v>
      </c>
    </row>
    <row r="55" spans="1:9" ht="28.5">
      <c r="A55" s="185" t="str">
        <f>'CUSTOS SICRO - SINAPI - ORSE'!D31</f>
        <v>E9685</v>
      </c>
      <c r="B55" s="186" t="str">
        <f>'CUSTOS SICRO - SINAPI - ORSE'!A31</f>
        <v>Rolo compactador pé de carneiro vibratório autopropelido por pneus de 11,6 t - 82 kW</v>
      </c>
      <c r="C55" s="187">
        <v>1</v>
      </c>
      <c r="D55" s="193">
        <v>1</v>
      </c>
      <c r="E55" s="193">
        <v>0</v>
      </c>
      <c r="F55" s="188">
        <f>'CUSTOS SICRO - SINAPI - ORSE'!F31</f>
        <v>199.6669</v>
      </c>
      <c r="G55" s="188">
        <f>'CUSTOS SICRO - SINAPI - ORSE'!G31</f>
        <v>96.510900000000007</v>
      </c>
      <c r="H55" s="176"/>
      <c r="I55" s="188">
        <f t="shared" si="1"/>
        <v>199.6669</v>
      </c>
    </row>
    <row r="56" spans="1:9">
      <c r="A56" s="185" t="str">
        <f>'CUSTOS SICRO - SINAPI - ORSE'!D35</f>
        <v>E9577</v>
      </c>
      <c r="B56" s="186" t="str">
        <f>'CUSTOS SICRO - SINAPI - ORSE'!A35</f>
        <v>Trator agrícola sobre pneus - 77 kW</v>
      </c>
      <c r="C56" s="187">
        <v>1</v>
      </c>
      <c r="D56" s="193">
        <v>0.52</v>
      </c>
      <c r="E56" s="193">
        <v>0.48</v>
      </c>
      <c r="F56" s="188">
        <f>'CUSTOS SICRO - SINAPI - ORSE'!F35</f>
        <v>126.06010000000001</v>
      </c>
      <c r="G56" s="188">
        <f>'CUSTOS SICRO - SINAPI - ORSE'!G35</f>
        <v>50.948399999999999</v>
      </c>
      <c r="H56" s="176"/>
      <c r="I56" s="188">
        <f t="shared" si="1"/>
        <v>90.006500000000003</v>
      </c>
    </row>
    <row r="57" spans="1:9" ht="15.75" customHeight="1">
      <c r="A57" s="183"/>
      <c r="B57" s="183"/>
      <c r="C57" s="183"/>
      <c r="D57" s="183"/>
      <c r="E57" s="183"/>
      <c r="F57" s="183"/>
      <c r="G57" s="184" t="s">
        <v>153</v>
      </c>
      <c r="H57" s="183"/>
      <c r="I57" s="196">
        <f>ROUNDDOWN(I51+I52+I53+I54+I55+I56,4)</f>
        <v>1026.8413</v>
      </c>
    </row>
    <row r="58" spans="1:9" ht="15.75" customHeight="1">
      <c r="A58" s="181" t="s">
        <v>154</v>
      </c>
      <c r="B58" s="183"/>
      <c r="C58" s="182" t="s">
        <v>8</v>
      </c>
      <c r="D58" s="182" t="s">
        <v>7</v>
      </c>
      <c r="E58" s="183"/>
      <c r="F58" s="182" t="s">
        <v>146</v>
      </c>
      <c r="G58" s="566" t="s">
        <v>155</v>
      </c>
      <c r="H58" s="566"/>
      <c r="I58" s="566"/>
    </row>
    <row r="59" spans="1:9">
      <c r="A59" s="185" t="str">
        <f>'CUSTOS SICRO - SINAPI - ORSE'!D32</f>
        <v>P9824</v>
      </c>
      <c r="B59" s="186" t="str">
        <f>'CUSTOS SICRO - SINAPI - ORSE'!A32</f>
        <v>Servente</v>
      </c>
      <c r="C59" s="187">
        <v>1</v>
      </c>
      <c r="D59" s="185" t="s">
        <v>105</v>
      </c>
      <c r="E59" s="176"/>
      <c r="F59" s="188">
        <f>'CUSTOS SICRO - SINAPI - ORSE'!F32</f>
        <v>21.6083</v>
      </c>
      <c r="G59" s="176"/>
      <c r="H59" s="176"/>
      <c r="I59" s="188">
        <f>ROUND(C59*F59,4)</f>
        <v>21.6083</v>
      </c>
    </row>
    <row r="60" spans="1:9" ht="15.75" customHeight="1">
      <c r="A60" s="176"/>
      <c r="B60" s="176"/>
      <c r="C60" s="567" t="s">
        <v>156</v>
      </c>
      <c r="D60" s="567"/>
      <c r="E60" s="567"/>
      <c r="F60" s="567"/>
      <c r="G60" s="567"/>
      <c r="H60" s="176"/>
      <c r="I60" s="188">
        <f>SUM(I59)</f>
        <v>21.6083</v>
      </c>
    </row>
    <row r="61" spans="1:9" ht="15.75" customHeight="1">
      <c r="A61" s="183"/>
      <c r="B61" s="183"/>
      <c r="C61" s="566" t="s">
        <v>157</v>
      </c>
      <c r="D61" s="566"/>
      <c r="E61" s="566"/>
      <c r="F61" s="566"/>
      <c r="G61" s="566"/>
      <c r="H61" s="183"/>
      <c r="I61" s="197">
        <f>ROUNDDOWN(I57+I60,4)</f>
        <v>1048.4495999999999</v>
      </c>
    </row>
    <row r="62" spans="1:9" ht="15.75" customHeight="1">
      <c r="A62" s="176"/>
      <c r="B62" s="176"/>
      <c r="C62" s="567" t="s">
        <v>158</v>
      </c>
      <c r="D62" s="567"/>
      <c r="E62" s="567"/>
      <c r="F62" s="567"/>
      <c r="G62" s="567"/>
      <c r="H62" s="176"/>
      <c r="I62" s="198">
        <f>ROUNDUP(I61/H47,4)</f>
        <v>6.2333999999999996</v>
      </c>
    </row>
    <row r="63" spans="1:9" ht="15.75" customHeight="1">
      <c r="A63" s="176"/>
      <c r="B63" s="176"/>
      <c r="C63" s="176"/>
      <c r="D63" s="176"/>
      <c r="E63" s="176"/>
      <c r="F63" s="176"/>
      <c r="G63" s="189" t="s">
        <v>159</v>
      </c>
      <c r="H63" s="176"/>
      <c r="I63" s="199">
        <f>ROUND(I62*H46,4)</f>
        <v>8.8800000000000004E-2</v>
      </c>
    </row>
    <row r="64" spans="1:9" ht="15.75" customHeight="1">
      <c r="A64" s="183"/>
      <c r="B64" s="183"/>
      <c r="C64" s="183"/>
      <c r="D64" s="183"/>
      <c r="E64" s="183"/>
      <c r="F64" s="183"/>
      <c r="G64" s="184" t="s">
        <v>161</v>
      </c>
      <c r="H64" s="183"/>
      <c r="I64" s="197" t="s">
        <v>160</v>
      </c>
    </row>
    <row r="65" spans="1:9" ht="15.75" customHeight="1">
      <c r="A65" s="181" t="s">
        <v>162</v>
      </c>
      <c r="B65" s="183"/>
      <c r="C65" s="182" t="s">
        <v>8</v>
      </c>
      <c r="D65" s="182" t="s">
        <v>7</v>
      </c>
      <c r="E65" s="183"/>
      <c r="F65" s="182" t="s">
        <v>9</v>
      </c>
      <c r="G65" s="566" t="s">
        <v>163</v>
      </c>
      <c r="H65" s="566"/>
      <c r="I65" s="566"/>
    </row>
    <row r="66" spans="1:9" ht="24.95" customHeight="1">
      <c r="A66" s="183"/>
      <c r="B66" s="183"/>
      <c r="C66" s="566" t="s">
        <v>166</v>
      </c>
      <c r="D66" s="566"/>
      <c r="E66" s="566"/>
      <c r="F66" s="566"/>
      <c r="G66" s="566"/>
      <c r="H66" s="183"/>
      <c r="I66" s="196"/>
    </row>
    <row r="67" spans="1:9" ht="15.75" customHeight="1">
      <c r="A67" s="181" t="s">
        <v>167</v>
      </c>
      <c r="B67" s="183"/>
      <c r="C67" s="182" t="s">
        <v>8</v>
      </c>
      <c r="D67" s="182" t="s">
        <v>7</v>
      </c>
      <c r="E67" s="183"/>
      <c r="F67" s="182" t="s">
        <v>163</v>
      </c>
      <c r="G67" s="566" t="s">
        <v>163</v>
      </c>
      <c r="H67" s="566"/>
      <c r="I67" s="566"/>
    </row>
    <row r="68" spans="1:9" ht="28.5">
      <c r="A68" s="185">
        <f>'CUSTOS SICRO - SINAPI - ORSE'!D15</f>
        <v>4016096</v>
      </c>
      <c r="B68" s="186" t="str">
        <f>'CUSTOS SICRO - SINAPI - ORSE'!A15</f>
        <v>Escavação e carga de material de jazida com escavadeira hidráulica de 1,56 m³</v>
      </c>
      <c r="C68" s="187">
        <v>1.1002700000000001</v>
      </c>
      <c r="D68" s="185" t="s">
        <v>191</v>
      </c>
      <c r="E68" s="176"/>
      <c r="F68" s="188">
        <f>'CUSTOS SICRO - SINAPI - ORSE'!F15</f>
        <v>1.44</v>
      </c>
      <c r="G68" s="176"/>
      <c r="H68" s="176"/>
      <c r="I68" s="188">
        <f>ROUND(C68*F68,4)</f>
        <v>1.5844</v>
      </c>
    </row>
    <row r="69" spans="1:9" ht="15.75" customHeight="1">
      <c r="A69" s="183"/>
      <c r="B69" s="183"/>
      <c r="C69" s="566" t="s">
        <v>168</v>
      </c>
      <c r="D69" s="566"/>
      <c r="E69" s="566"/>
      <c r="F69" s="566"/>
      <c r="G69" s="566"/>
      <c r="H69" s="183"/>
      <c r="I69" s="196">
        <f>ROUND(I68,4)</f>
        <v>1.5844</v>
      </c>
    </row>
    <row r="70" spans="1:9" ht="15.75" customHeight="1">
      <c r="A70" s="183"/>
      <c r="B70" s="183"/>
      <c r="C70" s="183"/>
      <c r="D70" s="183"/>
      <c r="E70" s="183"/>
      <c r="F70" s="183"/>
      <c r="G70" s="184" t="s">
        <v>169</v>
      </c>
      <c r="H70" s="183"/>
      <c r="I70" s="197">
        <f>ROUND(I62+I63+I69,4)</f>
        <v>7.9066000000000001</v>
      </c>
    </row>
    <row r="71" spans="1:9" ht="15.75" customHeight="1">
      <c r="A71" s="181" t="s">
        <v>170</v>
      </c>
      <c r="B71" s="183"/>
      <c r="C71" s="182" t="s">
        <v>171</v>
      </c>
      <c r="D71" s="182" t="s">
        <v>8</v>
      </c>
      <c r="E71" s="182" t="s">
        <v>7</v>
      </c>
      <c r="F71" s="183"/>
      <c r="G71" s="182" t="s">
        <v>163</v>
      </c>
      <c r="H71" s="566" t="s">
        <v>163</v>
      </c>
      <c r="I71" s="566"/>
    </row>
    <row r="72" spans="1:9" ht="28.5">
      <c r="A72" s="185">
        <f>'CUSTOS SICRO - SINAPI - ORSE'!D16</f>
        <v>5914354</v>
      </c>
      <c r="B72" s="186" t="str">
        <f>'CUSTOS SICRO - SINAPI - ORSE'!A16</f>
        <v>Escavação e carga de material de jazida com escavadeira hidráulica de 1,56 m³ - Caminhão basculante 10 m³</v>
      </c>
      <c r="C72" s="185" t="s">
        <v>194</v>
      </c>
      <c r="D72" s="187">
        <v>2.0630099999999998</v>
      </c>
      <c r="E72" s="185" t="s">
        <v>174</v>
      </c>
      <c r="F72" s="176"/>
      <c r="G72" s="188">
        <f>'CUSTOS SICRO - SINAPI - ORSE'!F16</f>
        <v>1.68</v>
      </c>
      <c r="H72" s="176"/>
      <c r="I72" s="188">
        <f>ROUND(D72*G72,4)</f>
        <v>3.4659</v>
      </c>
    </row>
    <row r="73" spans="1:9" ht="15.75" customHeight="1">
      <c r="A73" s="183"/>
      <c r="B73" s="183"/>
      <c r="C73" s="566" t="s">
        <v>178</v>
      </c>
      <c r="D73" s="566"/>
      <c r="E73" s="566"/>
      <c r="F73" s="566"/>
      <c r="G73" s="566"/>
      <c r="H73" s="183"/>
      <c r="I73" s="197">
        <f>ROUND(I72,4)</f>
        <v>3.4659</v>
      </c>
    </row>
    <row r="74" spans="1:9" ht="15.75" customHeight="1">
      <c r="A74" s="569" t="s">
        <v>179</v>
      </c>
      <c r="B74" s="569"/>
      <c r="C74" s="565" t="s">
        <v>8</v>
      </c>
      <c r="D74" s="565" t="s">
        <v>7</v>
      </c>
      <c r="E74" s="565" t="s">
        <v>180</v>
      </c>
      <c r="F74" s="565"/>
      <c r="G74" s="565"/>
      <c r="H74" s="176"/>
      <c r="I74" s="566" t="s">
        <v>163</v>
      </c>
    </row>
    <row r="75" spans="1:9" ht="15.75" customHeight="1">
      <c r="A75" s="569"/>
      <c r="B75" s="569"/>
      <c r="C75" s="565"/>
      <c r="D75" s="565"/>
      <c r="E75" s="182" t="s">
        <v>181</v>
      </c>
      <c r="F75" s="182" t="s">
        <v>182</v>
      </c>
      <c r="G75" s="182" t="s">
        <v>183</v>
      </c>
      <c r="H75" s="183"/>
      <c r="I75" s="566"/>
    </row>
    <row r="76" spans="1:9" ht="28.5">
      <c r="A76" s="185" t="s">
        <v>195</v>
      </c>
      <c r="B76" s="186" t="s">
        <v>196</v>
      </c>
      <c r="C76" s="187">
        <v>206301</v>
      </c>
      <c r="D76" s="185" t="s">
        <v>184</v>
      </c>
      <c r="E76" s="185" t="s">
        <v>197</v>
      </c>
      <c r="F76" s="185" t="s">
        <v>198</v>
      </c>
      <c r="G76" s="185" t="s">
        <v>199</v>
      </c>
      <c r="H76" s="176"/>
      <c r="I76" s="176"/>
    </row>
    <row r="77" spans="1:9" ht="24.95" customHeight="1">
      <c r="A77" s="176"/>
      <c r="B77" s="176"/>
      <c r="C77" s="567" t="s">
        <v>188</v>
      </c>
      <c r="D77" s="567"/>
      <c r="E77" s="567"/>
      <c r="F77" s="567"/>
      <c r="G77" s="567"/>
      <c r="H77" s="176"/>
      <c r="I77" s="176"/>
    </row>
    <row r="78" spans="1:9" ht="15.75" customHeight="1">
      <c r="A78" s="190"/>
      <c r="B78" s="190"/>
      <c r="C78" s="190"/>
      <c r="D78" s="190"/>
      <c r="E78" s="568" t="s">
        <v>189</v>
      </c>
      <c r="F78" s="568"/>
      <c r="G78" s="568"/>
      <c r="H78" s="190"/>
      <c r="I78" s="200">
        <f>ROUND(I70+I73,4)</f>
        <v>11.3725</v>
      </c>
    </row>
    <row r="79" spans="1:9" ht="15.75" thickTop="1"/>
    <row r="80" spans="1:9" ht="23.25" customHeight="1" thickBot="1">
      <c r="A80" s="173" t="s">
        <v>134</v>
      </c>
      <c r="B80" s="174"/>
      <c r="C80" s="174"/>
      <c r="D80" s="174"/>
      <c r="E80" s="174"/>
      <c r="F80" s="174"/>
      <c r="G80" s="174"/>
      <c r="H80" s="174"/>
      <c r="I80" s="194" t="s">
        <v>135</v>
      </c>
    </row>
    <row r="81" spans="1:9" ht="18.75" customHeight="1">
      <c r="A81" s="175" t="s">
        <v>136</v>
      </c>
      <c r="B81" s="176"/>
      <c r="C81" s="176"/>
      <c r="D81" s="175" t="s">
        <v>137</v>
      </c>
      <c r="E81" s="176"/>
      <c r="F81" s="176"/>
      <c r="G81" s="191" t="s">
        <v>190</v>
      </c>
      <c r="H81" s="192">
        <v>1.4250000000000001E-2</v>
      </c>
      <c r="I81" s="176"/>
    </row>
    <row r="82" spans="1:9" ht="15.75" customHeight="1">
      <c r="A82" s="177" t="s">
        <v>138</v>
      </c>
      <c r="B82" s="176"/>
      <c r="C82" s="176"/>
      <c r="D82" s="432" t="s">
        <v>514</v>
      </c>
      <c r="E82" s="176"/>
      <c r="F82" s="176"/>
      <c r="G82" s="178" t="s">
        <v>139</v>
      </c>
      <c r="H82" s="179">
        <v>230.19</v>
      </c>
      <c r="I82" s="177" t="s">
        <v>191</v>
      </c>
    </row>
    <row r="83" spans="1:9" ht="30" customHeight="1">
      <c r="A83" s="180" t="s">
        <v>200</v>
      </c>
      <c r="B83" s="563" t="s">
        <v>201</v>
      </c>
      <c r="C83" s="563"/>
      <c r="D83" s="563"/>
      <c r="E83" s="563"/>
      <c r="F83" s="563"/>
      <c r="G83" s="563"/>
      <c r="H83" s="564" t="s">
        <v>143</v>
      </c>
      <c r="I83" s="564"/>
    </row>
    <row r="84" spans="1:9" ht="15.75" customHeight="1">
      <c r="A84" s="569" t="s">
        <v>144</v>
      </c>
      <c r="B84" s="569"/>
      <c r="C84" s="565" t="s">
        <v>8</v>
      </c>
      <c r="D84" s="565" t="s">
        <v>145</v>
      </c>
      <c r="E84" s="565"/>
      <c r="F84" s="565" t="s">
        <v>146</v>
      </c>
      <c r="G84" s="565"/>
      <c r="H84" s="176"/>
      <c r="I84" s="195" t="s">
        <v>147</v>
      </c>
    </row>
    <row r="85" spans="1:9" ht="15.75" customHeight="1">
      <c r="A85" s="569"/>
      <c r="B85" s="569"/>
      <c r="C85" s="565"/>
      <c r="D85" s="182" t="s">
        <v>148</v>
      </c>
      <c r="E85" s="182" t="s">
        <v>149</v>
      </c>
      <c r="F85" s="182" t="s">
        <v>150</v>
      </c>
      <c r="G85" s="182" t="s">
        <v>151</v>
      </c>
      <c r="H85" s="183"/>
      <c r="I85" s="182" t="s">
        <v>152</v>
      </c>
    </row>
    <row r="86" spans="1:9" ht="28.5">
      <c r="A86" s="185" t="str">
        <f>'CUSTOS SICRO - SINAPI - ORSE'!D18</f>
        <v>E9515</v>
      </c>
      <c r="B86" s="186" t="str">
        <f>'CUSTOS SICRO - SINAPI - ORSE'!A18</f>
        <v>Escavadeira hidráulica sobre esteiras com caçamba com capacidade de 1,56 m³ - 118 Kw</v>
      </c>
      <c r="C86" s="187">
        <v>1</v>
      </c>
      <c r="D86" s="193">
        <v>1</v>
      </c>
      <c r="E86" s="193">
        <v>0</v>
      </c>
      <c r="F86" s="188">
        <f>'CUSTOS SICRO - SINAPI - ORSE'!F18</f>
        <v>306.2364</v>
      </c>
      <c r="G86" s="188">
        <f>'CUSTOS SICRO - SINAPI - ORSE'!G18</f>
        <v>150.46369999999999</v>
      </c>
      <c r="H86" s="176"/>
      <c r="I86" s="188">
        <f>ROUND(((D86*F86)+(E86*G86))*C86,4)</f>
        <v>306.2364</v>
      </c>
    </row>
    <row r="87" spans="1:9" ht="15.75" customHeight="1">
      <c r="A87" s="183"/>
      <c r="B87" s="183"/>
      <c r="C87" s="183"/>
      <c r="D87" s="183"/>
      <c r="E87" s="183"/>
      <c r="F87" s="183"/>
      <c r="G87" s="184" t="s">
        <v>153</v>
      </c>
      <c r="H87" s="183"/>
      <c r="I87" s="196">
        <f>ROUND(I86,4)</f>
        <v>306.2364</v>
      </c>
    </row>
    <row r="88" spans="1:9" ht="15.75" customHeight="1">
      <c r="A88" s="181" t="s">
        <v>154</v>
      </c>
      <c r="B88" s="183"/>
      <c r="C88" s="182" t="s">
        <v>8</v>
      </c>
      <c r="D88" s="182" t="s">
        <v>7</v>
      </c>
      <c r="E88" s="183"/>
      <c r="F88" s="182" t="s">
        <v>146</v>
      </c>
      <c r="G88" s="566" t="s">
        <v>155</v>
      </c>
      <c r="H88" s="566"/>
      <c r="I88" s="566"/>
    </row>
    <row r="89" spans="1:9">
      <c r="A89" s="185" t="str">
        <f>'CUSTOS SICRO - SINAPI - ORSE'!D32</f>
        <v>P9824</v>
      </c>
      <c r="B89" s="186" t="str">
        <f>'CUSTOS SICRO - SINAPI - ORSE'!A32</f>
        <v>Servente</v>
      </c>
      <c r="C89" s="187">
        <v>1</v>
      </c>
      <c r="D89" s="185" t="s">
        <v>105</v>
      </c>
      <c r="E89" s="176"/>
      <c r="F89" s="188">
        <f>'CUSTOS SICRO - SINAPI - ORSE'!F32</f>
        <v>21.6083</v>
      </c>
      <c r="G89" s="176"/>
      <c r="H89" s="176"/>
      <c r="I89" s="188">
        <f>ROUND(C89*F89,4)</f>
        <v>21.6083</v>
      </c>
    </row>
    <row r="90" spans="1:9" ht="15.75" customHeight="1">
      <c r="A90" s="176"/>
      <c r="B90" s="176"/>
      <c r="C90" s="567" t="s">
        <v>156</v>
      </c>
      <c r="D90" s="567"/>
      <c r="E90" s="567"/>
      <c r="F90" s="567"/>
      <c r="G90" s="567"/>
      <c r="H90" s="176"/>
      <c r="I90" s="188">
        <f>ROUND(I89,4)</f>
        <v>21.6083</v>
      </c>
    </row>
    <row r="91" spans="1:9" ht="15.75" customHeight="1">
      <c r="A91" s="183"/>
      <c r="B91" s="183"/>
      <c r="C91" s="566" t="s">
        <v>157</v>
      </c>
      <c r="D91" s="566"/>
      <c r="E91" s="566"/>
      <c r="F91" s="566"/>
      <c r="G91" s="566"/>
      <c r="H91" s="183"/>
      <c r="I91" s="197">
        <f>ROUND(I87+I90,4)</f>
        <v>327.84469999999999</v>
      </c>
    </row>
    <row r="92" spans="1:9" ht="15.75" customHeight="1">
      <c r="A92" s="176"/>
      <c r="B92" s="176"/>
      <c r="C92" s="567" t="s">
        <v>158</v>
      </c>
      <c r="D92" s="567"/>
      <c r="E92" s="567"/>
      <c r="F92" s="567"/>
      <c r="G92" s="567"/>
      <c r="H92" s="176"/>
      <c r="I92" s="198">
        <f>ROUNDDOWN(I91/H82,4)</f>
        <v>1.4241999999999999</v>
      </c>
    </row>
    <row r="93" spans="1:9" ht="15.75" customHeight="1">
      <c r="A93" s="176"/>
      <c r="B93" s="176"/>
      <c r="C93" s="176"/>
      <c r="D93" s="176"/>
      <c r="E93" s="176"/>
      <c r="F93" s="176"/>
      <c r="G93" s="189" t="s">
        <v>159</v>
      </c>
      <c r="H93" s="176"/>
      <c r="I93" s="199">
        <f>ROUNDUP(I92*H81,4)</f>
        <v>2.0299999999999999E-2</v>
      </c>
    </row>
    <row r="94" spans="1:9" ht="15.75" customHeight="1">
      <c r="A94" s="183"/>
      <c r="B94" s="183"/>
      <c r="C94" s="183"/>
      <c r="D94" s="183"/>
      <c r="E94" s="183"/>
      <c r="F94" s="183"/>
      <c r="G94" s="184" t="s">
        <v>161</v>
      </c>
      <c r="H94" s="183"/>
      <c r="I94" s="197" t="s">
        <v>160</v>
      </c>
    </row>
    <row r="95" spans="1:9" ht="15.75" customHeight="1">
      <c r="A95" s="181" t="s">
        <v>162</v>
      </c>
      <c r="B95" s="183"/>
      <c r="C95" s="182" t="s">
        <v>8</v>
      </c>
      <c r="D95" s="182" t="s">
        <v>7</v>
      </c>
      <c r="E95" s="183"/>
      <c r="F95" s="182" t="s">
        <v>9</v>
      </c>
      <c r="G95" s="566" t="s">
        <v>163</v>
      </c>
      <c r="H95" s="566"/>
      <c r="I95" s="566"/>
    </row>
    <row r="96" spans="1:9" ht="24.95" customHeight="1">
      <c r="A96" s="183"/>
      <c r="B96" s="183"/>
      <c r="C96" s="566" t="s">
        <v>166</v>
      </c>
      <c r="D96" s="566"/>
      <c r="E96" s="566"/>
      <c r="F96" s="566"/>
      <c r="G96" s="566"/>
      <c r="H96" s="183"/>
      <c r="I96" s="196"/>
    </row>
    <row r="97" spans="1:9" ht="15.75" customHeight="1">
      <c r="A97" s="181" t="s">
        <v>167</v>
      </c>
      <c r="B97" s="183"/>
      <c r="C97" s="182" t="s">
        <v>8</v>
      </c>
      <c r="D97" s="182" t="s">
        <v>7</v>
      </c>
      <c r="E97" s="183"/>
      <c r="F97" s="182" t="s">
        <v>163</v>
      </c>
      <c r="G97" s="566" t="s">
        <v>163</v>
      </c>
      <c r="H97" s="566"/>
      <c r="I97" s="566"/>
    </row>
    <row r="98" spans="1:9" ht="24.95" customHeight="1">
      <c r="A98" s="183"/>
      <c r="B98" s="183"/>
      <c r="C98" s="566" t="s">
        <v>168</v>
      </c>
      <c r="D98" s="566"/>
      <c r="E98" s="566"/>
      <c r="F98" s="566"/>
      <c r="G98" s="566"/>
      <c r="H98" s="183"/>
      <c r="I98" s="196"/>
    </row>
    <row r="99" spans="1:9" ht="15.75" customHeight="1">
      <c r="A99" s="183"/>
      <c r="B99" s="183"/>
      <c r="C99" s="183"/>
      <c r="D99" s="183"/>
      <c r="E99" s="183"/>
      <c r="F99" s="183"/>
      <c r="G99" s="184" t="s">
        <v>169</v>
      </c>
      <c r="H99" s="183"/>
      <c r="I99" s="197">
        <f>ROUND(I92+I93,4)</f>
        <v>1.4444999999999999</v>
      </c>
    </row>
    <row r="100" spans="1:9" ht="15.75" customHeight="1">
      <c r="A100" s="181" t="s">
        <v>170</v>
      </c>
      <c r="B100" s="183"/>
      <c r="C100" s="182" t="s">
        <v>171</v>
      </c>
      <c r="D100" s="182" t="s">
        <v>8</v>
      </c>
      <c r="E100" s="182" t="s">
        <v>7</v>
      </c>
      <c r="F100" s="183"/>
      <c r="G100" s="182" t="s">
        <v>163</v>
      </c>
      <c r="H100" s="566" t="s">
        <v>163</v>
      </c>
      <c r="I100" s="566"/>
    </row>
    <row r="101" spans="1:9" ht="24.95" customHeight="1">
      <c r="A101" s="183"/>
      <c r="B101" s="183"/>
      <c r="C101" s="566" t="s">
        <v>178</v>
      </c>
      <c r="D101" s="566"/>
      <c r="E101" s="566"/>
      <c r="F101" s="566"/>
      <c r="G101" s="566"/>
      <c r="H101" s="183"/>
      <c r="I101" s="197"/>
    </row>
    <row r="102" spans="1:9" ht="15.75" customHeight="1">
      <c r="A102" s="569" t="s">
        <v>179</v>
      </c>
      <c r="B102" s="569"/>
      <c r="C102" s="565" t="s">
        <v>8</v>
      </c>
      <c r="D102" s="565" t="s">
        <v>7</v>
      </c>
      <c r="E102" s="565" t="s">
        <v>180</v>
      </c>
      <c r="F102" s="565"/>
      <c r="G102" s="565"/>
      <c r="H102" s="176"/>
      <c r="I102" s="566" t="s">
        <v>163</v>
      </c>
    </row>
    <row r="103" spans="1:9" ht="15.75" customHeight="1">
      <c r="A103" s="569"/>
      <c r="B103" s="569"/>
      <c r="C103" s="565"/>
      <c r="D103" s="565"/>
      <c r="E103" s="182" t="s">
        <v>181</v>
      </c>
      <c r="F103" s="182" t="s">
        <v>182</v>
      </c>
      <c r="G103" s="182" t="s">
        <v>183</v>
      </c>
      <c r="H103" s="183"/>
      <c r="I103" s="566"/>
    </row>
    <row r="104" spans="1:9" ht="24.95" customHeight="1">
      <c r="A104" s="176"/>
      <c r="B104" s="176"/>
      <c r="C104" s="567" t="s">
        <v>188</v>
      </c>
      <c r="D104" s="567"/>
      <c r="E104" s="567"/>
      <c r="F104" s="567"/>
      <c r="G104" s="567"/>
      <c r="H104" s="176"/>
      <c r="I104" s="176"/>
    </row>
    <row r="105" spans="1:9" ht="15.75" customHeight="1">
      <c r="A105" s="190"/>
      <c r="B105" s="190"/>
      <c r="C105" s="190"/>
      <c r="D105" s="190"/>
      <c r="E105" s="568" t="s">
        <v>189</v>
      </c>
      <c r="F105" s="568"/>
      <c r="G105" s="568"/>
      <c r="H105" s="190"/>
      <c r="I105" s="200">
        <f>ROUND(I99,4)</f>
        <v>1.4444999999999999</v>
      </c>
    </row>
    <row r="106" spans="1:9" ht="15.75" thickTop="1"/>
    <row r="107" spans="1:9" ht="23.25" customHeight="1" thickBot="1">
      <c r="A107" s="173" t="s">
        <v>134</v>
      </c>
      <c r="B107" s="174"/>
      <c r="C107" s="174"/>
      <c r="D107" s="174"/>
      <c r="E107" s="174"/>
      <c r="F107" s="174"/>
      <c r="G107" s="174"/>
      <c r="H107" s="174"/>
      <c r="I107" s="194" t="s">
        <v>135</v>
      </c>
    </row>
    <row r="108" spans="1:9" ht="18.75" customHeight="1">
      <c r="A108" s="175" t="s">
        <v>136</v>
      </c>
      <c r="B108" s="176"/>
      <c r="C108" s="176"/>
      <c r="D108" s="175" t="s">
        <v>137</v>
      </c>
      <c r="E108" s="176"/>
      <c r="F108" s="176"/>
      <c r="G108" s="191" t="s">
        <v>190</v>
      </c>
      <c r="H108" s="192">
        <v>1.4250000000000001E-2</v>
      </c>
      <c r="I108" s="176"/>
    </row>
    <row r="109" spans="1:9" ht="15.75" customHeight="1">
      <c r="A109" s="177" t="s">
        <v>138</v>
      </c>
      <c r="B109" s="176"/>
      <c r="C109" s="176"/>
      <c r="D109" s="432" t="s">
        <v>514</v>
      </c>
      <c r="E109" s="176"/>
      <c r="F109" s="176"/>
      <c r="G109" s="178" t="s">
        <v>139</v>
      </c>
      <c r="H109" s="179">
        <v>26</v>
      </c>
      <c r="I109" s="177" t="s">
        <v>191</v>
      </c>
    </row>
    <row r="110" spans="1:9" ht="30" customHeight="1">
      <c r="A110" s="180" t="s">
        <v>202</v>
      </c>
      <c r="B110" s="563" t="s">
        <v>203</v>
      </c>
      <c r="C110" s="563"/>
      <c r="D110" s="563"/>
      <c r="E110" s="563"/>
      <c r="F110" s="563"/>
      <c r="G110" s="563"/>
      <c r="H110" s="564" t="s">
        <v>143</v>
      </c>
      <c r="I110" s="564"/>
    </row>
    <row r="111" spans="1:9" ht="15.75" customHeight="1">
      <c r="A111" s="569" t="s">
        <v>144</v>
      </c>
      <c r="B111" s="569"/>
      <c r="C111" s="565" t="s">
        <v>8</v>
      </c>
      <c r="D111" s="565" t="s">
        <v>145</v>
      </c>
      <c r="E111" s="565"/>
      <c r="F111" s="565" t="s">
        <v>146</v>
      </c>
      <c r="G111" s="565"/>
      <c r="H111" s="176"/>
      <c r="I111" s="195" t="s">
        <v>147</v>
      </c>
    </row>
    <row r="112" spans="1:9" ht="15.75" customHeight="1">
      <c r="A112" s="569"/>
      <c r="B112" s="569"/>
      <c r="C112" s="565"/>
      <c r="D112" s="182" t="s">
        <v>148</v>
      </c>
      <c r="E112" s="182" t="s">
        <v>149</v>
      </c>
      <c r="F112" s="182" t="s">
        <v>150</v>
      </c>
      <c r="G112" s="182" t="s">
        <v>151</v>
      </c>
      <c r="H112" s="183"/>
      <c r="I112" s="182" t="s">
        <v>152</v>
      </c>
    </row>
    <row r="113" spans="1:9" ht="28.5">
      <c r="A113" s="185" t="str">
        <f>'CUSTOS SICRO - SINAPI - ORSE'!D29</f>
        <v>E9526</v>
      </c>
      <c r="B113" s="186" t="str">
        <f>'CUSTOS SICRO - SINAPI - ORSE'!A29</f>
        <v>Retroescavadeira de pneus com capacidade de 0,76 m³ - 58 Kw</v>
      </c>
      <c r="C113" s="187">
        <v>1</v>
      </c>
      <c r="D113" s="193">
        <v>1</v>
      </c>
      <c r="E113" s="193">
        <v>0</v>
      </c>
      <c r="F113" s="188">
        <f>'CUSTOS SICRO - SINAPI - ORSE'!F29</f>
        <v>153.52449999999999</v>
      </c>
      <c r="G113" s="188">
        <f>'CUSTOS SICRO - SINAPI - ORSE'!G29</f>
        <v>84.3172</v>
      </c>
      <c r="H113" s="176"/>
      <c r="I113" s="188">
        <f>(((D113*F113)+(E113*G113))*C113)</f>
        <v>153.52449999999999</v>
      </c>
    </row>
    <row r="114" spans="1:9" ht="15.75" customHeight="1">
      <c r="A114" s="183"/>
      <c r="B114" s="183"/>
      <c r="C114" s="183"/>
      <c r="D114" s="183"/>
      <c r="E114" s="183"/>
      <c r="F114" s="183"/>
      <c r="G114" s="184" t="s">
        <v>153</v>
      </c>
      <c r="H114" s="183"/>
      <c r="I114" s="196">
        <f>SUM(I113)</f>
        <v>153.52449999999999</v>
      </c>
    </row>
    <row r="115" spans="1:9" ht="15.75" customHeight="1">
      <c r="A115" s="181" t="s">
        <v>154</v>
      </c>
      <c r="B115" s="183"/>
      <c r="C115" s="182" t="s">
        <v>8</v>
      </c>
      <c r="D115" s="182" t="s">
        <v>7</v>
      </c>
      <c r="E115" s="183"/>
      <c r="F115" s="182" t="s">
        <v>146</v>
      </c>
      <c r="G115" s="566" t="s">
        <v>155</v>
      </c>
      <c r="H115" s="566"/>
      <c r="I115" s="566"/>
    </row>
    <row r="116" spans="1:9">
      <c r="A116" s="185" t="str">
        <f>'CUSTOS SICRO - SINAPI - ORSE'!D32</f>
        <v>P9824</v>
      </c>
      <c r="B116" s="186" t="str">
        <f>'CUSTOS SICRO - SINAPI - ORSE'!A32</f>
        <v>Servente</v>
      </c>
      <c r="C116" s="187">
        <v>1</v>
      </c>
      <c r="D116" s="185" t="s">
        <v>105</v>
      </c>
      <c r="E116" s="176"/>
      <c r="F116" s="188">
        <f>'CUSTOS SICRO - SINAPI - ORSE'!F32</f>
        <v>21.6083</v>
      </c>
      <c r="G116" s="176"/>
      <c r="H116" s="176"/>
      <c r="I116" s="188">
        <f>C116*F116</f>
        <v>21.6083</v>
      </c>
    </row>
    <row r="117" spans="1:9" ht="15.75" customHeight="1">
      <c r="A117" s="176"/>
      <c r="B117" s="176"/>
      <c r="C117" s="567" t="s">
        <v>156</v>
      </c>
      <c r="D117" s="567"/>
      <c r="E117" s="567"/>
      <c r="F117" s="567"/>
      <c r="G117" s="567"/>
      <c r="H117" s="176"/>
      <c r="I117" s="188">
        <f>SUM(I116)</f>
        <v>21.6083</v>
      </c>
    </row>
    <row r="118" spans="1:9" ht="15.75" customHeight="1">
      <c r="A118" s="183"/>
      <c r="B118" s="183"/>
      <c r="C118" s="566" t="s">
        <v>157</v>
      </c>
      <c r="D118" s="566"/>
      <c r="E118" s="566"/>
      <c r="F118" s="566"/>
      <c r="G118" s="566"/>
      <c r="H118" s="183"/>
      <c r="I118" s="197">
        <f>SUM(I114,I117)</f>
        <v>175.13279999999997</v>
      </c>
    </row>
    <row r="119" spans="1:9" ht="15.75" customHeight="1">
      <c r="A119" s="176"/>
      <c r="B119" s="176"/>
      <c r="C119" s="567" t="s">
        <v>158</v>
      </c>
      <c r="D119" s="567"/>
      <c r="E119" s="567"/>
      <c r="F119" s="567"/>
      <c r="G119" s="567"/>
      <c r="H119" s="176"/>
      <c r="I119" s="198">
        <f>I118/H109</f>
        <v>6.7358769230769218</v>
      </c>
    </row>
    <row r="120" spans="1:9" ht="15.75" customHeight="1">
      <c r="A120" s="176"/>
      <c r="B120" s="176"/>
      <c r="C120" s="176"/>
      <c r="D120" s="176"/>
      <c r="E120" s="176"/>
      <c r="F120" s="176"/>
      <c r="G120" s="189" t="s">
        <v>159</v>
      </c>
      <c r="H120" s="176"/>
      <c r="I120" s="199">
        <f>ROUNDDOWN(I119*H108,4)</f>
        <v>9.5899999999999999E-2</v>
      </c>
    </row>
    <row r="121" spans="1:9" ht="15.75" customHeight="1">
      <c r="A121" s="183"/>
      <c r="B121" s="183"/>
      <c r="C121" s="183"/>
      <c r="D121" s="183"/>
      <c r="E121" s="183"/>
      <c r="F121" s="183"/>
      <c r="G121" s="184" t="s">
        <v>161</v>
      </c>
      <c r="H121" s="183"/>
      <c r="I121" s="197" t="s">
        <v>160</v>
      </c>
    </row>
    <row r="122" spans="1:9" ht="15.75" customHeight="1">
      <c r="A122" s="181" t="s">
        <v>162</v>
      </c>
      <c r="B122" s="183"/>
      <c r="C122" s="182" t="s">
        <v>8</v>
      </c>
      <c r="D122" s="182" t="s">
        <v>7</v>
      </c>
      <c r="E122" s="183"/>
      <c r="F122" s="182" t="s">
        <v>9</v>
      </c>
      <c r="G122" s="566" t="s">
        <v>163</v>
      </c>
      <c r="H122" s="566"/>
      <c r="I122" s="566"/>
    </row>
    <row r="123" spans="1:9" ht="24.95" customHeight="1">
      <c r="A123" s="183"/>
      <c r="B123" s="183"/>
      <c r="C123" s="566" t="s">
        <v>166</v>
      </c>
      <c r="D123" s="566"/>
      <c r="E123" s="566"/>
      <c r="F123" s="566"/>
      <c r="G123" s="566"/>
      <c r="H123" s="183"/>
      <c r="I123" s="196"/>
    </row>
    <row r="124" spans="1:9" ht="15.75" customHeight="1">
      <c r="A124" s="181" t="s">
        <v>167</v>
      </c>
      <c r="B124" s="183"/>
      <c r="C124" s="182" t="s">
        <v>8</v>
      </c>
      <c r="D124" s="182" t="s">
        <v>7</v>
      </c>
      <c r="E124" s="183"/>
      <c r="F124" s="182" t="s">
        <v>163</v>
      </c>
      <c r="G124" s="566" t="s">
        <v>163</v>
      </c>
      <c r="H124" s="566"/>
      <c r="I124" s="566"/>
    </row>
    <row r="125" spans="1:9" ht="24.95" customHeight="1">
      <c r="A125" s="183"/>
      <c r="B125" s="183"/>
      <c r="C125" s="566" t="s">
        <v>168</v>
      </c>
      <c r="D125" s="566"/>
      <c r="E125" s="566"/>
      <c r="F125" s="566"/>
      <c r="G125" s="566"/>
      <c r="H125" s="183"/>
      <c r="I125" s="196"/>
    </row>
    <row r="126" spans="1:9" ht="15.75" customHeight="1">
      <c r="A126" s="183"/>
      <c r="B126" s="183"/>
      <c r="C126" s="183"/>
      <c r="D126" s="183"/>
      <c r="E126" s="183"/>
      <c r="F126" s="183"/>
      <c r="G126" s="184" t="s">
        <v>169</v>
      </c>
      <c r="H126" s="183"/>
      <c r="I126" s="197">
        <f>ROUNDUP(I119+I120,4)</f>
        <v>6.8317999999999994</v>
      </c>
    </row>
    <row r="127" spans="1:9" ht="15.75" customHeight="1">
      <c r="A127" s="181" t="s">
        <v>170</v>
      </c>
      <c r="B127" s="183"/>
      <c r="C127" s="182" t="s">
        <v>171</v>
      </c>
      <c r="D127" s="182" t="s">
        <v>8</v>
      </c>
      <c r="E127" s="182" t="s">
        <v>7</v>
      </c>
      <c r="F127" s="183"/>
      <c r="G127" s="182" t="s">
        <v>163</v>
      </c>
      <c r="H127" s="566" t="s">
        <v>163</v>
      </c>
      <c r="I127" s="566"/>
    </row>
    <row r="128" spans="1:9" ht="24.95" customHeight="1">
      <c r="A128" s="183"/>
      <c r="B128" s="183"/>
      <c r="C128" s="566" t="s">
        <v>178</v>
      </c>
      <c r="D128" s="566"/>
      <c r="E128" s="566"/>
      <c r="F128" s="566"/>
      <c r="G128" s="566"/>
      <c r="H128" s="183"/>
      <c r="I128" s="197"/>
    </row>
    <row r="129" spans="1:9" ht="15.75" customHeight="1">
      <c r="A129" s="569" t="s">
        <v>179</v>
      </c>
      <c r="B129" s="569"/>
      <c r="C129" s="565" t="s">
        <v>8</v>
      </c>
      <c r="D129" s="565" t="s">
        <v>7</v>
      </c>
      <c r="E129" s="565" t="s">
        <v>180</v>
      </c>
      <c r="F129" s="565"/>
      <c r="G129" s="565"/>
      <c r="H129" s="176"/>
      <c r="I129" s="566" t="s">
        <v>163</v>
      </c>
    </row>
    <row r="130" spans="1:9" ht="15.75" customHeight="1">
      <c r="A130" s="569"/>
      <c r="B130" s="569"/>
      <c r="C130" s="565"/>
      <c r="D130" s="565"/>
      <c r="E130" s="182" t="s">
        <v>181</v>
      </c>
      <c r="F130" s="182" t="s">
        <v>182</v>
      </c>
      <c r="G130" s="182" t="s">
        <v>183</v>
      </c>
      <c r="H130" s="183"/>
      <c r="I130" s="566"/>
    </row>
    <row r="131" spans="1:9" ht="24.95" customHeight="1">
      <c r="A131" s="176"/>
      <c r="B131" s="176"/>
      <c r="C131" s="567" t="s">
        <v>188</v>
      </c>
      <c r="D131" s="567"/>
      <c r="E131" s="567"/>
      <c r="F131" s="567"/>
      <c r="G131" s="567"/>
      <c r="H131" s="176"/>
      <c r="I131" s="176"/>
    </row>
    <row r="132" spans="1:9" ht="15.75" customHeight="1">
      <c r="A132" s="190"/>
      <c r="B132" s="190"/>
      <c r="C132" s="190"/>
      <c r="D132" s="190"/>
      <c r="E132" s="568" t="s">
        <v>189</v>
      </c>
      <c r="F132" s="568"/>
      <c r="G132" s="568"/>
      <c r="H132" s="190"/>
      <c r="I132" s="201">
        <f>ROUND(I126,4)</f>
        <v>6.8318000000000003</v>
      </c>
    </row>
    <row r="133" spans="1:9" ht="15.75" thickTop="1"/>
    <row r="134" spans="1:9" ht="23.25" customHeight="1" thickBot="1">
      <c r="A134" s="173" t="s">
        <v>134</v>
      </c>
      <c r="B134" s="174"/>
      <c r="C134" s="174"/>
      <c r="D134" s="174"/>
      <c r="E134" s="174"/>
      <c r="F134" s="174"/>
      <c r="G134" s="174"/>
      <c r="H134" s="174"/>
      <c r="I134" s="194" t="s">
        <v>135</v>
      </c>
    </row>
    <row r="135" spans="1:9" ht="18.75" customHeight="1">
      <c r="A135" s="175" t="s">
        <v>136</v>
      </c>
      <c r="B135" s="176"/>
      <c r="C135" s="176"/>
      <c r="D135" s="175" t="s">
        <v>137</v>
      </c>
      <c r="E135" s="176"/>
      <c r="F135" s="176"/>
      <c r="G135" s="191" t="s">
        <v>190</v>
      </c>
      <c r="H135" s="192">
        <v>1.4250000000000001E-2</v>
      </c>
      <c r="I135" s="176"/>
    </row>
    <row r="136" spans="1:9" ht="15.75" customHeight="1">
      <c r="A136" s="177" t="s">
        <v>138</v>
      </c>
      <c r="B136" s="176"/>
      <c r="C136" s="176"/>
      <c r="D136" s="432" t="s">
        <v>514</v>
      </c>
      <c r="E136" s="176"/>
      <c r="F136" s="176"/>
      <c r="G136" s="178" t="s">
        <v>139</v>
      </c>
      <c r="H136" s="179">
        <v>348.6</v>
      </c>
      <c r="I136" s="177" t="s">
        <v>184</v>
      </c>
    </row>
    <row r="137" spans="1:9" ht="30" customHeight="1">
      <c r="A137" s="180" t="s">
        <v>204</v>
      </c>
      <c r="B137" s="563" t="s">
        <v>205</v>
      </c>
      <c r="C137" s="563"/>
      <c r="D137" s="563"/>
      <c r="E137" s="563"/>
      <c r="F137" s="563"/>
      <c r="G137" s="563"/>
      <c r="H137" s="564" t="s">
        <v>143</v>
      </c>
      <c r="I137" s="564"/>
    </row>
    <row r="138" spans="1:9" ht="15.75" customHeight="1">
      <c r="A138" s="569" t="s">
        <v>144</v>
      </c>
      <c r="B138" s="569"/>
      <c r="C138" s="565" t="s">
        <v>8</v>
      </c>
      <c r="D138" s="565" t="s">
        <v>145</v>
      </c>
      <c r="E138" s="565"/>
      <c r="F138" s="565" t="s">
        <v>146</v>
      </c>
      <c r="G138" s="565"/>
      <c r="H138" s="176"/>
      <c r="I138" s="195" t="s">
        <v>147</v>
      </c>
    </row>
    <row r="139" spans="1:9" ht="15.75" customHeight="1">
      <c r="A139" s="569"/>
      <c r="B139" s="569"/>
      <c r="C139" s="565"/>
      <c r="D139" s="182" t="s">
        <v>148</v>
      </c>
      <c r="E139" s="182" t="s">
        <v>149</v>
      </c>
      <c r="F139" s="182" t="s">
        <v>150</v>
      </c>
      <c r="G139" s="182" t="s">
        <v>151</v>
      </c>
      <c r="H139" s="183"/>
      <c r="I139" s="182" t="s">
        <v>152</v>
      </c>
    </row>
    <row r="140" spans="1:9" ht="28.5">
      <c r="A140" s="185" t="str">
        <f>'CUSTOS SICRO - SINAPI - ORSE'!D8</f>
        <v>E9575</v>
      </c>
      <c r="B140" s="186" t="str">
        <f>'CUSTOS SICRO - SINAPI - ORSE'!A8</f>
        <v>Caminhão basculante com caçamba estanque com capacidade de 14 m³ - 188 Kw</v>
      </c>
      <c r="C140" s="187">
        <v>1</v>
      </c>
      <c r="D140" s="193">
        <v>1</v>
      </c>
      <c r="E140" s="193">
        <v>0</v>
      </c>
      <c r="F140" s="188">
        <f>'CUSTOS SICRO - SINAPI - ORSE'!F8</f>
        <v>276.851</v>
      </c>
      <c r="G140" s="188">
        <f>'CUSTOS SICRO - SINAPI - ORSE'!G8</f>
        <v>101.6259</v>
      </c>
      <c r="H140" s="176"/>
      <c r="I140" s="188">
        <f>(((D140*F140)+(E140*G140))*C140)</f>
        <v>276.851</v>
      </c>
    </row>
    <row r="141" spans="1:9" ht="15.75" customHeight="1">
      <c r="A141" s="183"/>
      <c r="B141" s="183"/>
      <c r="C141" s="183"/>
      <c r="D141" s="183"/>
      <c r="E141" s="183"/>
      <c r="F141" s="183"/>
      <c r="G141" s="184" t="s">
        <v>153</v>
      </c>
      <c r="H141" s="183"/>
      <c r="I141" s="196">
        <f>SUM(I140)</f>
        <v>276.851</v>
      </c>
    </row>
    <row r="142" spans="1:9" ht="15.75" customHeight="1">
      <c r="A142" s="181" t="s">
        <v>154</v>
      </c>
      <c r="B142" s="183"/>
      <c r="C142" s="182" t="s">
        <v>8</v>
      </c>
      <c r="D142" s="182" t="s">
        <v>7</v>
      </c>
      <c r="E142" s="183"/>
      <c r="F142" s="182" t="s">
        <v>146</v>
      </c>
      <c r="G142" s="566" t="s">
        <v>155</v>
      </c>
      <c r="H142" s="566"/>
      <c r="I142" s="566"/>
    </row>
    <row r="143" spans="1:9" ht="24.95" customHeight="1">
      <c r="A143" s="176"/>
      <c r="B143" s="176"/>
      <c r="C143" s="567" t="s">
        <v>156</v>
      </c>
      <c r="D143" s="567"/>
      <c r="E143" s="567"/>
      <c r="F143" s="567"/>
      <c r="G143" s="567"/>
      <c r="H143" s="176"/>
      <c r="I143" s="188"/>
    </row>
    <row r="144" spans="1:9" ht="15.75" customHeight="1">
      <c r="A144" s="183"/>
      <c r="B144" s="183"/>
      <c r="C144" s="566" t="s">
        <v>157</v>
      </c>
      <c r="D144" s="566"/>
      <c r="E144" s="566"/>
      <c r="F144" s="566"/>
      <c r="G144" s="566"/>
      <c r="H144" s="183"/>
      <c r="I144" s="197">
        <f>I141</f>
        <v>276.851</v>
      </c>
    </row>
    <row r="145" spans="1:9" ht="15.75" customHeight="1">
      <c r="A145" s="176"/>
      <c r="B145" s="176"/>
      <c r="C145" s="567" t="s">
        <v>158</v>
      </c>
      <c r="D145" s="567"/>
      <c r="E145" s="567"/>
      <c r="F145" s="567"/>
      <c r="G145" s="567"/>
      <c r="H145" s="176"/>
      <c r="I145" s="198">
        <f>I144/H136</f>
        <v>0.79417957544463558</v>
      </c>
    </row>
    <row r="146" spans="1:9" ht="15.75" customHeight="1">
      <c r="A146" s="176"/>
      <c r="B146" s="176"/>
      <c r="C146" s="176"/>
      <c r="D146" s="176"/>
      <c r="E146" s="176"/>
      <c r="F146" s="176"/>
      <c r="G146" s="189" t="s">
        <v>159</v>
      </c>
      <c r="H146" s="176"/>
      <c r="I146" s="199">
        <f>ROUNDUP(I145*H135,4)</f>
        <v>1.1399999999999999E-2</v>
      </c>
    </row>
    <row r="147" spans="1:9" ht="15.75" customHeight="1">
      <c r="A147" s="183"/>
      <c r="B147" s="183"/>
      <c r="C147" s="183"/>
      <c r="D147" s="183"/>
      <c r="E147" s="183"/>
      <c r="F147" s="183"/>
      <c r="G147" s="184" t="s">
        <v>161</v>
      </c>
      <c r="H147" s="183"/>
      <c r="I147" s="197" t="s">
        <v>160</v>
      </c>
    </row>
    <row r="148" spans="1:9" ht="15.75" customHeight="1">
      <c r="A148" s="181" t="s">
        <v>162</v>
      </c>
      <c r="B148" s="183"/>
      <c r="C148" s="182" t="s">
        <v>8</v>
      </c>
      <c r="D148" s="182" t="s">
        <v>7</v>
      </c>
      <c r="E148" s="183"/>
      <c r="F148" s="182" t="s">
        <v>9</v>
      </c>
      <c r="G148" s="566" t="s">
        <v>163</v>
      </c>
      <c r="H148" s="566"/>
      <c r="I148" s="566"/>
    </row>
    <row r="149" spans="1:9" ht="24.95" customHeight="1">
      <c r="A149" s="183"/>
      <c r="B149" s="183"/>
      <c r="C149" s="566" t="s">
        <v>166</v>
      </c>
      <c r="D149" s="566"/>
      <c r="E149" s="566"/>
      <c r="F149" s="566"/>
      <c r="G149" s="566"/>
      <c r="H149" s="183"/>
      <c r="I149" s="196"/>
    </row>
    <row r="150" spans="1:9" ht="15.75" customHeight="1">
      <c r="A150" s="181" t="s">
        <v>167</v>
      </c>
      <c r="B150" s="183"/>
      <c r="C150" s="182" t="s">
        <v>8</v>
      </c>
      <c r="D150" s="182" t="s">
        <v>7</v>
      </c>
      <c r="E150" s="183"/>
      <c r="F150" s="182" t="s">
        <v>163</v>
      </c>
      <c r="G150" s="566" t="s">
        <v>163</v>
      </c>
      <c r="H150" s="566"/>
      <c r="I150" s="566"/>
    </row>
    <row r="151" spans="1:9" ht="24.95" customHeight="1">
      <c r="A151" s="183"/>
      <c r="B151" s="183"/>
      <c r="C151" s="566" t="s">
        <v>168</v>
      </c>
      <c r="D151" s="566"/>
      <c r="E151" s="566"/>
      <c r="F151" s="566"/>
      <c r="G151" s="566"/>
      <c r="H151" s="183"/>
      <c r="I151" s="196"/>
    </row>
    <row r="152" spans="1:9" ht="15.75" customHeight="1">
      <c r="A152" s="183"/>
      <c r="B152" s="183"/>
      <c r="C152" s="183"/>
      <c r="D152" s="183"/>
      <c r="E152" s="183"/>
      <c r="F152" s="183"/>
      <c r="G152" s="184" t="s">
        <v>169</v>
      </c>
      <c r="H152" s="183"/>
      <c r="I152" s="197">
        <f>SUM(I145:I146)</f>
        <v>0.80557957544463554</v>
      </c>
    </row>
    <row r="153" spans="1:9" ht="15.75" customHeight="1">
      <c r="A153" s="181" t="s">
        <v>170</v>
      </c>
      <c r="B153" s="183"/>
      <c r="C153" s="182" t="s">
        <v>171</v>
      </c>
      <c r="D153" s="182" t="s">
        <v>8</v>
      </c>
      <c r="E153" s="182" t="s">
        <v>7</v>
      </c>
      <c r="F153" s="183"/>
      <c r="G153" s="182" t="s">
        <v>163</v>
      </c>
      <c r="H153" s="566" t="s">
        <v>163</v>
      </c>
      <c r="I153" s="566"/>
    </row>
    <row r="154" spans="1:9" ht="24.95" customHeight="1">
      <c r="A154" s="183"/>
      <c r="B154" s="183"/>
      <c r="C154" s="566" t="s">
        <v>178</v>
      </c>
      <c r="D154" s="566"/>
      <c r="E154" s="566"/>
      <c r="F154" s="566"/>
      <c r="G154" s="566"/>
      <c r="H154" s="183"/>
      <c r="I154" s="197"/>
    </row>
    <row r="155" spans="1:9" ht="15.75" customHeight="1">
      <c r="A155" s="569" t="s">
        <v>179</v>
      </c>
      <c r="B155" s="569"/>
      <c r="C155" s="565" t="s">
        <v>8</v>
      </c>
      <c r="D155" s="565" t="s">
        <v>7</v>
      </c>
      <c r="E155" s="565" t="s">
        <v>180</v>
      </c>
      <c r="F155" s="565"/>
      <c r="G155" s="565"/>
      <c r="H155" s="176"/>
      <c r="I155" s="566" t="s">
        <v>163</v>
      </c>
    </row>
    <row r="156" spans="1:9" ht="15.75" customHeight="1">
      <c r="A156" s="569"/>
      <c r="B156" s="569"/>
      <c r="C156" s="565"/>
      <c r="D156" s="565"/>
      <c r="E156" s="182" t="s">
        <v>181</v>
      </c>
      <c r="F156" s="182" t="s">
        <v>182</v>
      </c>
      <c r="G156" s="182" t="s">
        <v>183</v>
      </c>
      <c r="H156" s="183"/>
      <c r="I156" s="566"/>
    </row>
    <row r="157" spans="1:9" ht="24.95" customHeight="1">
      <c r="A157" s="176"/>
      <c r="B157" s="176"/>
      <c r="C157" s="567" t="s">
        <v>188</v>
      </c>
      <c r="D157" s="567"/>
      <c r="E157" s="567"/>
      <c r="F157" s="567"/>
      <c r="G157" s="567"/>
      <c r="H157" s="176"/>
      <c r="I157" s="176"/>
    </row>
    <row r="158" spans="1:9" ht="15.75" customHeight="1">
      <c r="A158" s="190"/>
      <c r="B158" s="190"/>
      <c r="C158" s="190"/>
      <c r="D158" s="190"/>
      <c r="E158" s="568" t="s">
        <v>189</v>
      </c>
      <c r="F158" s="568"/>
      <c r="G158" s="568"/>
      <c r="H158" s="190"/>
      <c r="I158" s="201">
        <f>ROUND(I152,4)</f>
        <v>0.80559999999999998</v>
      </c>
    </row>
    <row r="159" spans="1:9" ht="15.75" thickTop="1"/>
    <row r="160" spans="1:9" ht="23.25" customHeight="1" thickBot="1">
      <c r="A160" s="173" t="s">
        <v>134</v>
      </c>
      <c r="B160" s="174"/>
      <c r="C160" s="174"/>
      <c r="D160" s="174"/>
      <c r="E160" s="174"/>
      <c r="F160" s="174"/>
      <c r="G160" s="174"/>
      <c r="H160" s="174"/>
      <c r="I160" s="194" t="s">
        <v>135</v>
      </c>
    </row>
    <row r="161" spans="1:9" ht="18.75" customHeight="1">
      <c r="A161" s="175" t="s">
        <v>136</v>
      </c>
      <c r="B161" s="176"/>
      <c r="C161" s="176"/>
      <c r="D161" s="175" t="s">
        <v>137</v>
      </c>
      <c r="E161" s="176"/>
      <c r="F161" s="176"/>
      <c r="G161" s="191" t="s">
        <v>190</v>
      </c>
      <c r="H161" s="192">
        <v>1.4250000000000001E-2</v>
      </c>
      <c r="I161" s="176"/>
    </row>
    <row r="162" spans="1:9" ht="15.75" customHeight="1">
      <c r="A162" s="177" t="s">
        <v>138</v>
      </c>
      <c r="B162" s="176"/>
      <c r="C162" s="176"/>
      <c r="D162" s="432" t="s">
        <v>514</v>
      </c>
      <c r="E162" s="176"/>
      <c r="F162" s="176"/>
      <c r="G162" s="178" t="s">
        <v>139</v>
      </c>
      <c r="H162" s="179">
        <v>609.78</v>
      </c>
      <c r="I162" s="177" t="s">
        <v>184</v>
      </c>
    </row>
    <row r="163" spans="1:9" ht="30" customHeight="1">
      <c r="A163" s="180" t="s">
        <v>206</v>
      </c>
      <c r="B163" s="563" t="s">
        <v>207</v>
      </c>
      <c r="C163" s="563"/>
      <c r="D163" s="563"/>
      <c r="E163" s="563"/>
      <c r="F163" s="563"/>
      <c r="G163" s="563"/>
      <c r="H163" s="564" t="s">
        <v>143</v>
      </c>
      <c r="I163" s="564"/>
    </row>
    <row r="164" spans="1:9" ht="15.75" customHeight="1">
      <c r="A164" s="569" t="s">
        <v>144</v>
      </c>
      <c r="B164" s="569"/>
      <c r="C164" s="565" t="s">
        <v>8</v>
      </c>
      <c r="D164" s="565" t="s">
        <v>145</v>
      </c>
      <c r="E164" s="565"/>
      <c r="F164" s="565" t="s">
        <v>146</v>
      </c>
      <c r="G164" s="565"/>
      <c r="H164" s="176"/>
      <c r="I164" s="195" t="s">
        <v>147</v>
      </c>
    </row>
    <row r="165" spans="1:9" ht="15.75" customHeight="1">
      <c r="A165" s="569"/>
      <c r="B165" s="569"/>
      <c r="C165" s="565"/>
      <c r="D165" s="182" t="s">
        <v>148</v>
      </c>
      <c r="E165" s="182" t="s">
        <v>149</v>
      </c>
      <c r="F165" s="182" t="s">
        <v>150</v>
      </c>
      <c r="G165" s="182" t="s">
        <v>151</v>
      </c>
      <c r="H165" s="183"/>
      <c r="I165" s="182" t="s">
        <v>152</v>
      </c>
    </row>
    <row r="166" spans="1:9" ht="28.5">
      <c r="A166" s="185" t="str">
        <f>'CUSTOS SICRO - SINAPI - ORSE'!D11</f>
        <v>E9666</v>
      </c>
      <c r="B166" s="186" t="str">
        <f>'CUSTOS SICRO - SINAPI - ORSE'!A11</f>
        <v>Cavalo mecânico com semirreboque com capacidade de 30 t - 265 kW</v>
      </c>
      <c r="C166" s="187">
        <v>1</v>
      </c>
      <c r="D166" s="193">
        <v>1</v>
      </c>
      <c r="E166" s="193">
        <v>0</v>
      </c>
      <c r="F166" s="188">
        <f>'CUSTOS SICRO - SINAPI - ORSE'!F11</f>
        <v>384.53199999999998</v>
      </c>
      <c r="G166" s="188">
        <f>'CUSTOS SICRO - SINAPI - ORSE'!G11</f>
        <v>133.70679999999999</v>
      </c>
      <c r="H166" s="176"/>
      <c r="I166" s="188">
        <f>(((D166*F166)+(E166*G166))*C166)</f>
        <v>384.53199999999998</v>
      </c>
    </row>
    <row r="167" spans="1:9" ht="15.75" customHeight="1">
      <c r="A167" s="183"/>
      <c r="B167" s="183"/>
      <c r="C167" s="183"/>
      <c r="D167" s="183"/>
      <c r="E167" s="183"/>
      <c r="F167" s="183"/>
      <c r="G167" s="184" t="s">
        <v>153</v>
      </c>
      <c r="H167" s="183"/>
      <c r="I167" s="196">
        <f>SUM(I166)</f>
        <v>384.53199999999998</v>
      </c>
    </row>
    <row r="168" spans="1:9" ht="15.75" customHeight="1">
      <c r="A168" s="181" t="s">
        <v>154</v>
      </c>
      <c r="B168" s="183"/>
      <c r="C168" s="182" t="s">
        <v>8</v>
      </c>
      <c r="D168" s="182" t="s">
        <v>7</v>
      </c>
      <c r="E168" s="183"/>
      <c r="F168" s="182" t="s">
        <v>146</v>
      </c>
      <c r="G168" s="566" t="s">
        <v>155</v>
      </c>
      <c r="H168" s="566"/>
      <c r="I168" s="566"/>
    </row>
    <row r="169" spans="1:9" ht="24.95" customHeight="1">
      <c r="A169" s="176"/>
      <c r="B169" s="176"/>
      <c r="C169" s="567" t="s">
        <v>156</v>
      </c>
      <c r="D169" s="567"/>
      <c r="E169" s="567"/>
      <c r="F169" s="567"/>
      <c r="G169" s="567"/>
      <c r="H169" s="176"/>
      <c r="I169" s="188"/>
    </row>
    <row r="170" spans="1:9" ht="15.75" customHeight="1">
      <c r="A170" s="183"/>
      <c r="B170" s="183"/>
      <c r="C170" s="566" t="s">
        <v>157</v>
      </c>
      <c r="D170" s="566"/>
      <c r="E170" s="566"/>
      <c r="F170" s="566"/>
      <c r="G170" s="566"/>
      <c r="H170" s="183"/>
      <c r="I170" s="197">
        <f>I167</f>
        <v>384.53199999999998</v>
      </c>
    </row>
    <row r="171" spans="1:9" ht="15.75" customHeight="1">
      <c r="A171" s="176"/>
      <c r="B171" s="176"/>
      <c r="C171" s="567" t="s">
        <v>158</v>
      </c>
      <c r="D171" s="567"/>
      <c r="E171" s="567"/>
      <c r="F171" s="567"/>
      <c r="G171" s="567"/>
      <c r="H171" s="176"/>
      <c r="I171" s="198">
        <f>I170/H162</f>
        <v>0.63060776017580111</v>
      </c>
    </row>
    <row r="172" spans="1:9" ht="15.75" customHeight="1">
      <c r="A172" s="176"/>
      <c r="B172" s="176"/>
      <c r="C172" s="176"/>
      <c r="D172" s="176"/>
      <c r="E172" s="176"/>
      <c r="F172" s="176"/>
      <c r="G172" s="189" t="s">
        <v>159</v>
      </c>
      <c r="H172" s="176"/>
      <c r="I172" s="198">
        <f>ROUNDDOWN(I171*H161,4)</f>
        <v>8.8999999999999999E-3</v>
      </c>
    </row>
    <row r="173" spans="1:9" ht="15.75" customHeight="1">
      <c r="A173" s="183"/>
      <c r="B173" s="183"/>
      <c r="C173" s="183"/>
      <c r="D173" s="183"/>
      <c r="E173" s="183"/>
      <c r="F173" s="183"/>
      <c r="G173" s="184" t="s">
        <v>161</v>
      </c>
      <c r="H173" s="183"/>
      <c r="I173" s="197" t="s">
        <v>160</v>
      </c>
    </row>
    <row r="174" spans="1:9" ht="15.75" customHeight="1">
      <c r="A174" s="181" t="s">
        <v>162</v>
      </c>
      <c r="B174" s="183"/>
      <c r="C174" s="182" t="s">
        <v>8</v>
      </c>
      <c r="D174" s="182" t="s">
        <v>7</v>
      </c>
      <c r="E174" s="183"/>
      <c r="F174" s="182" t="s">
        <v>9</v>
      </c>
      <c r="G174" s="566" t="s">
        <v>163</v>
      </c>
      <c r="H174" s="566"/>
      <c r="I174" s="566"/>
    </row>
    <row r="175" spans="1:9" ht="24.95" customHeight="1">
      <c r="A175" s="183"/>
      <c r="B175" s="183"/>
      <c r="C175" s="566" t="s">
        <v>166</v>
      </c>
      <c r="D175" s="566"/>
      <c r="E175" s="566"/>
      <c r="F175" s="566"/>
      <c r="G175" s="566"/>
      <c r="H175" s="183"/>
      <c r="I175" s="196"/>
    </row>
    <row r="176" spans="1:9" ht="15.75" customHeight="1">
      <c r="A176" s="181" t="s">
        <v>167</v>
      </c>
      <c r="B176" s="183"/>
      <c r="C176" s="182" t="s">
        <v>8</v>
      </c>
      <c r="D176" s="182" t="s">
        <v>7</v>
      </c>
      <c r="E176" s="183"/>
      <c r="F176" s="182" t="s">
        <v>163</v>
      </c>
      <c r="G176" s="566" t="s">
        <v>163</v>
      </c>
      <c r="H176" s="566"/>
      <c r="I176" s="566"/>
    </row>
    <row r="177" spans="1:9" ht="24.95" customHeight="1">
      <c r="A177" s="183"/>
      <c r="B177" s="183"/>
      <c r="C177" s="566" t="s">
        <v>168</v>
      </c>
      <c r="D177" s="566"/>
      <c r="E177" s="566"/>
      <c r="F177" s="566"/>
      <c r="G177" s="566"/>
      <c r="H177" s="183"/>
      <c r="I177" s="196"/>
    </row>
    <row r="178" spans="1:9" ht="15.75" customHeight="1">
      <c r="A178" s="183"/>
      <c r="B178" s="183"/>
      <c r="C178" s="183"/>
      <c r="D178" s="183"/>
      <c r="E178" s="183"/>
      <c r="F178" s="183"/>
      <c r="G178" s="184" t="s">
        <v>169</v>
      </c>
      <c r="H178" s="183"/>
      <c r="I178" s="197">
        <f>SUM(I171,I172)</f>
        <v>0.63950776017580113</v>
      </c>
    </row>
    <row r="179" spans="1:9" ht="15.75" customHeight="1">
      <c r="A179" s="181" t="s">
        <v>170</v>
      </c>
      <c r="B179" s="183"/>
      <c r="C179" s="182" t="s">
        <v>171</v>
      </c>
      <c r="D179" s="182" t="s">
        <v>8</v>
      </c>
      <c r="E179" s="182" t="s">
        <v>7</v>
      </c>
      <c r="F179" s="183"/>
      <c r="G179" s="182" t="s">
        <v>163</v>
      </c>
      <c r="H179" s="566" t="s">
        <v>163</v>
      </c>
      <c r="I179" s="566"/>
    </row>
    <row r="180" spans="1:9" ht="24.95" customHeight="1">
      <c r="A180" s="183"/>
      <c r="B180" s="183"/>
      <c r="C180" s="566" t="s">
        <v>178</v>
      </c>
      <c r="D180" s="566"/>
      <c r="E180" s="566"/>
      <c r="F180" s="566"/>
      <c r="G180" s="566"/>
      <c r="H180" s="183"/>
      <c r="I180" s="197"/>
    </row>
    <row r="181" spans="1:9" ht="15.75" customHeight="1">
      <c r="A181" s="569" t="s">
        <v>179</v>
      </c>
      <c r="B181" s="569"/>
      <c r="C181" s="565" t="s">
        <v>8</v>
      </c>
      <c r="D181" s="565" t="s">
        <v>7</v>
      </c>
      <c r="E181" s="565" t="s">
        <v>180</v>
      </c>
      <c r="F181" s="565"/>
      <c r="G181" s="565"/>
      <c r="H181" s="176"/>
      <c r="I181" s="566" t="s">
        <v>163</v>
      </c>
    </row>
    <row r="182" spans="1:9" ht="15.75" customHeight="1">
      <c r="A182" s="569"/>
      <c r="B182" s="569"/>
      <c r="C182" s="565"/>
      <c r="D182" s="565"/>
      <c r="E182" s="182" t="s">
        <v>181</v>
      </c>
      <c r="F182" s="182" t="s">
        <v>182</v>
      </c>
      <c r="G182" s="182" t="s">
        <v>183</v>
      </c>
      <c r="H182" s="183"/>
      <c r="I182" s="566"/>
    </row>
    <row r="183" spans="1:9" ht="24.95" customHeight="1">
      <c r="A183" s="176"/>
      <c r="B183" s="176"/>
      <c r="C183" s="567" t="s">
        <v>188</v>
      </c>
      <c r="D183" s="567"/>
      <c r="E183" s="567"/>
      <c r="F183" s="567"/>
      <c r="G183" s="567"/>
      <c r="H183" s="176"/>
      <c r="I183" s="176"/>
    </row>
    <row r="184" spans="1:9" ht="15.75" customHeight="1">
      <c r="A184" s="190"/>
      <c r="B184" s="190"/>
      <c r="C184" s="190"/>
      <c r="D184" s="190"/>
      <c r="E184" s="568" t="s">
        <v>189</v>
      </c>
      <c r="F184" s="568"/>
      <c r="G184" s="568"/>
      <c r="H184" s="190"/>
      <c r="I184" s="201">
        <f>ROUND(I178,4)</f>
        <v>0.63949999999999996</v>
      </c>
    </row>
    <row r="185" spans="1:9" ht="15.75" thickTop="1"/>
    <row r="186" spans="1:9" ht="23.25" customHeight="1" thickBot="1">
      <c r="A186" s="173" t="s">
        <v>134</v>
      </c>
      <c r="B186" s="174"/>
      <c r="C186" s="174"/>
      <c r="D186" s="174"/>
      <c r="E186" s="174"/>
      <c r="F186" s="174"/>
      <c r="G186" s="174"/>
      <c r="H186" s="174"/>
      <c r="I186" s="194" t="s">
        <v>135</v>
      </c>
    </row>
    <row r="187" spans="1:9" ht="18.75" customHeight="1">
      <c r="A187" s="175" t="s">
        <v>136</v>
      </c>
      <c r="B187" s="176"/>
      <c r="C187" s="176"/>
      <c r="D187" s="175" t="s">
        <v>137</v>
      </c>
      <c r="E187" s="176"/>
      <c r="F187" s="176"/>
      <c r="G187" s="191" t="s">
        <v>190</v>
      </c>
      <c r="H187" s="192">
        <v>0</v>
      </c>
      <c r="I187" s="176"/>
    </row>
    <row r="188" spans="1:9" ht="15.75" customHeight="1">
      <c r="A188" s="177" t="s">
        <v>138</v>
      </c>
      <c r="B188" s="176"/>
      <c r="C188" s="176"/>
      <c r="D188" s="432" t="s">
        <v>514</v>
      </c>
      <c r="E188" s="176"/>
      <c r="F188" s="176"/>
      <c r="G188" s="178" t="s">
        <v>139</v>
      </c>
      <c r="H188" s="179">
        <v>731.74</v>
      </c>
      <c r="I188" s="177" t="s">
        <v>184</v>
      </c>
    </row>
    <row r="189" spans="1:9" ht="30" customHeight="1">
      <c r="A189" s="180" t="s">
        <v>208</v>
      </c>
      <c r="B189" s="563" t="s">
        <v>209</v>
      </c>
      <c r="C189" s="563"/>
      <c r="D189" s="563"/>
      <c r="E189" s="563"/>
      <c r="F189" s="563"/>
      <c r="G189" s="563"/>
      <c r="H189" s="564" t="s">
        <v>143</v>
      </c>
      <c r="I189" s="564"/>
    </row>
    <row r="190" spans="1:9" ht="15.75" customHeight="1">
      <c r="A190" s="569" t="s">
        <v>144</v>
      </c>
      <c r="B190" s="569"/>
      <c r="C190" s="565" t="s">
        <v>8</v>
      </c>
      <c r="D190" s="565" t="s">
        <v>145</v>
      </c>
      <c r="E190" s="565"/>
      <c r="F190" s="565" t="s">
        <v>146</v>
      </c>
      <c r="G190" s="565"/>
      <c r="H190" s="176"/>
      <c r="I190" s="195" t="s">
        <v>147</v>
      </c>
    </row>
    <row r="191" spans="1:9" ht="15.75" customHeight="1">
      <c r="A191" s="569"/>
      <c r="B191" s="569"/>
      <c r="C191" s="565"/>
      <c r="D191" s="182" t="s">
        <v>148</v>
      </c>
      <c r="E191" s="182" t="s">
        <v>149</v>
      </c>
      <c r="F191" s="182" t="s">
        <v>150</v>
      </c>
      <c r="G191" s="182" t="s">
        <v>151</v>
      </c>
      <c r="H191" s="183"/>
      <c r="I191" s="182" t="s">
        <v>152</v>
      </c>
    </row>
    <row r="192" spans="1:9" ht="28.5">
      <c r="A192" s="185" t="str">
        <f>'CUSTOS SICRO - SINAPI - ORSE'!D11</f>
        <v>E9666</v>
      </c>
      <c r="B192" s="186" t="str">
        <f>'CUSTOS SICRO - SINAPI - ORSE'!A11</f>
        <v>Cavalo mecânico com semirreboque com capacidade de 30 t - 265 kW</v>
      </c>
      <c r="C192" s="187">
        <v>1</v>
      </c>
      <c r="D192" s="193">
        <v>1</v>
      </c>
      <c r="E192" s="193">
        <v>0</v>
      </c>
      <c r="F192" s="188">
        <f>'CUSTOS SICRO - SINAPI - ORSE'!F11</f>
        <v>384.53199999999998</v>
      </c>
      <c r="G192" s="188">
        <f>'CUSTOS SICRO - SINAPI - ORSE'!G11</f>
        <v>133.70679999999999</v>
      </c>
      <c r="H192" s="176"/>
      <c r="I192" s="188">
        <f>(((D192*F192)+(E192*G192))*C192)</f>
        <v>384.53199999999998</v>
      </c>
    </row>
    <row r="193" spans="1:9" ht="15.75" customHeight="1">
      <c r="A193" s="183"/>
      <c r="B193" s="183"/>
      <c r="C193" s="183"/>
      <c r="D193" s="183"/>
      <c r="E193" s="183"/>
      <c r="F193" s="183"/>
      <c r="G193" s="184" t="s">
        <v>153</v>
      </c>
      <c r="H193" s="183"/>
      <c r="I193" s="196">
        <f>SUM(I192)</f>
        <v>384.53199999999998</v>
      </c>
    </row>
    <row r="194" spans="1:9" ht="15.75" customHeight="1">
      <c r="A194" s="181" t="s">
        <v>154</v>
      </c>
      <c r="B194" s="183"/>
      <c r="C194" s="182" t="s">
        <v>8</v>
      </c>
      <c r="D194" s="182" t="s">
        <v>7</v>
      </c>
      <c r="E194" s="183"/>
      <c r="F194" s="182" t="s">
        <v>146</v>
      </c>
      <c r="G194" s="566" t="s">
        <v>155</v>
      </c>
      <c r="H194" s="566"/>
      <c r="I194" s="566"/>
    </row>
    <row r="195" spans="1:9" ht="24.95" customHeight="1">
      <c r="A195" s="176"/>
      <c r="B195" s="176"/>
      <c r="C195" s="567" t="s">
        <v>156</v>
      </c>
      <c r="D195" s="567"/>
      <c r="E195" s="567"/>
      <c r="F195" s="567"/>
      <c r="G195" s="567"/>
      <c r="H195" s="176"/>
      <c r="I195" s="188"/>
    </row>
    <row r="196" spans="1:9" ht="15.75" customHeight="1">
      <c r="A196" s="183"/>
      <c r="B196" s="183"/>
      <c r="C196" s="566" t="s">
        <v>157</v>
      </c>
      <c r="D196" s="566"/>
      <c r="E196" s="566"/>
      <c r="F196" s="566"/>
      <c r="G196" s="566"/>
      <c r="H196" s="183"/>
      <c r="I196" s="197">
        <f>I193</f>
        <v>384.53199999999998</v>
      </c>
    </row>
    <row r="197" spans="1:9" ht="15.75" customHeight="1">
      <c r="A197" s="176"/>
      <c r="B197" s="176"/>
      <c r="C197" s="567" t="s">
        <v>158</v>
      </c>
      <c r="D197" s="567"/>
      <c r="E197" s="567"/>
      <c r="F197" s="567"/>
      <c r="G197" s="567"/>
      <c r="H197" s="176"/>
      <c r="I197" s="198">
        <f>I196/H188</f>
        <v>0.52550359417279358</v>
      </c>
    </row>
    <row r="198" spans="1:9" ht="15.75" customHeight="1">
      <c r="A198" s="176"/>
      <c r="B198" s="176"/>
      <c r="C198" s="176"/>
      <c r="D198" s="176"/>
      <c r="E198" s="176"/>
      <c r="F198" s="176"/>
      <c r="G198" s="189" t="s">
        <v>159</v>
      </c>
      <c r="H198" s="176"/>
      <c r="I198" s="199">
        <f>ROUNDUP(I197*H187,4)</f>
        <v>0</v>
      </c>
    </row>
    <row r="199" spans="1:9" ht="15.75" customHeight="1">
      <c r="A199" s="183"/>
      <c r="B199" s="183"/>
      <c r="C199" s="183"/>
      <c r="D199" s="183"/>
      <c r="E199" s="183"/>
      <c r="F199" s="183"/>
      <c r="G199" s="184" t="s">
        <v>161</v>
      </c>
      <c r="H199" s="183"/>
      <c r="I199" s="197" t="s">
        <v>160</v>
      </c>
    </row>
    <row r="200" spans="1:9" ht="15.75" customHeight="1">
      <c r="A200" s="181" t="s">
        <v>162</v>
      </c>
      <c r="B200" s="183"/>
      <c r="C200" s="182" t="s">
        <v>8</v>
      </c>
      <c r="D200" s="182" t="s">
        <v>7</v>
      </c>
      <c r="E200" s="183"/>
      <c r="F200" s="182" t="s">
        <v>9</v>
      </c>
      <c r="G200" s="566" t="s">
        <v>163</v>
      </c>
      <c r="H200" s="566"/>
      <c r="I200" s="566"/>
    </row>
    <row r="201" spans="1:9" ht="24.95" customHeight="1">
      <c r="A201" s="183"/>
      <c r="B201" s="183"/>
      <c r="C201" s="566" t="s">
        <v>166</v>
      </c>
      <c r="D201" s="566"/>
      <c r="E201" s="566"/>
      <c r="F201" s="566"/>
      <c r="G201" s="566"/>
      <c r="H201" s="183"/>
      <c r="I201" s="196"/>
    </row>
    <row r="202" spans="1:9" ht="15.75" customHeight="1">
      <c r="A202" s="181" t="s">
        <v>167</v>
      </c>
      <c r="B202" s="183"/>
      <c r="C202" s="182" t="s">
        <v>8</v>
      </c>
      <c r="D202" s="182" t="s">
        <v>7</v>
      </c>
      <c r="E202" s="183"/>
      <c r="F202" s="182" t="s">
        <v>163</v>
      </c>
      <c r="G202" s="566" t="s">
        <v>163</v>
      </c>
      <c r="H202" s="566"/>
      <c r="I202" s="566"/>
    </row>
    <row r="203" spans="1:9" ht="24.95" customHeight="1">
      <c r="A203" s="183"/>
      <c r="B203" s="183"/>
      <c r="C203" s="566" t="s">
        <v>168</v>
      </c>
      <c r="D203" s="566"/>
      <c r="E203" s="566"/>
      <c r="F203" s="566"/>
      <c r="G203" s="566"/>
      <c r="H203" s="183"/>
      <c r="I203" s="196"/>
    </row>
    <row r="204" spans="1:9" ht="15.75" customHeight="1">
      <c r="A204" s="183"/>
      <c r="B204" s="183"/>
      <c r="C204" s="183"/>
      <c r="D204" s="183"/>
      <c r="E204" s="183"/>
      <c r="F204" s="183"/>
      <c r="G204" s="184" t="s">
        <v>169</v>
      </c>
      <c r="H204" s="183"/>
      <c r="I204" s="197">
        <f>SUM(I197,I198)</f>
        <v>0.52550359417279358</v>
      </c>
    </row>
    <row r="205" spans="1:9" ht="15.75" customHeight="1">
      <c r="A205" s="181" t="s">
        <v>170</v>
      </c>
      <c r="B205" s="183"/>
      <c r="C205" s="182" t="s">
        <v>171</v>
      </c>
      <c r="D205" s="182" t="s">
        <v>8</v>
      </c>
      <c r="E205" s="182" t="s">
        <v>7</v>
      </c>
      <c r="F205" s="183"/>
      <c r="G205" s="182" t="s">
        <v>163</v>
      </c>
      <c r="H205" s="566" t="s">
        <v>163</v>
      </c>
      <c r="I205" s="566"/>
    </row>
    <row r="206" spans="1:9" ht="24.95" customHeight="1">
      <c r="A206" s="183"/>
      <c r="B206" s="183"/>
      <c r="C206" s="566" t="s">
        <v>178</v>
      </c>
      <c r="D206" s="566"/>
      <c r="E206" s="566"/>
      <c r="F206" s="566"/>
      <c r="G206" s="566"/>
      <c r="H206" s="183"/>
      <c r="I206" s="197"/>
    </row>
    <row r="207" spans="1:9" ht="15.75" customHeight="1">
      <c r="A207" s="569" t="s">
        <v>179</v>
      </c>
      <c r="B207" s="569"/>
      <c r="C207" s="565" t="s">
        <v>8</v>
      </c>
      <c r="D207" s="565" t="s">
        <v>7</v>
      </c>
      <c r="E207" s="565" t="s">
        <v>180</v>
      </c>
      <c r="F207" s="565"/>
      <c r="G207" s="565"/>
      <c r="H207" s="176"/>
      <c r="I207" s="566" t="s">
        <v>163</v>
      </c>
    </row>
    <row r="208" spans="1:9" ht="15.75" customHeight="1">
      <c r="A208" s="569"/>
      <c r="B208" s="569"/>
      <c r="C208" s="565"/>
      <c r="D208" s="565"/>
      <c r="E208" s="182" t="s">
        <v>181</v>
      </c>
      <c r="F208" s="182" t="s">
        <v>182</v>
      </c>
      <c r="G208" s="182" t="s">
        <v>183</v>
      </c>
      <c r="H208" s="183"/>
      <c r="I208" s="566"/>
    </row>
    <row r="209" spans="1:9" ht="24.95" customHeight="1">
      <c r="A209" s="176"/>
      <c r="B209" s="176"/>
      <c r="C209" s="567" t="s">
        <v>188</v>
      </c>
      <c r="D209" s="567"/>
      <c r="E209" s="567"/>
      <c r="F209" s="567"/>
      <c r="G209" s="567"/>
      <c r="H209" s="176"/>
      <c r="I209" s="176"/>
    </row>
    <row r="210" spans="1:9" ht="15.75" customHeight="1">
      <c r="A210" s="190"/>
      <c r="B210" s="190"/>
      <c r="C210" s="190"/>
      <c r="D210" s="190"/>
      <c r="E210" s="568" t="s">
        <v>189</v>
      </c>
      <c r="F210" s="568"/>
      <c r="G210" s="568"/>
      <c r="H210" s="190"/>
      <c r="I210" s="201">
        <f>ROUND(I204,4)</f>
        <v>0.52549999999999997</v>
      </c>
    </row>
    <row r="211" spans="1:9" ht="15.75" thickTop="1"/>
    <row r="212" spans="1:9" ht="23.25" customHeight="1" thickBot="1">
      <c r="A212" s="173" t="s">
        <v>134</v>
      </c>
      <c r="B212" s="174"/>
      <c r="C212" s="174"/>
      <c r="D212" s="174"/>
      <c r="E212" s="174"/>
      <c r="F212" s="174"/>
      <c r="G212" s="174"/>
      <c r="H212" s="174"/>
      <c r="I212" s="194" t="s">
        <v>135</v>
      </c>
    </row>
    <row r="213" spans="1:9" ht="18.75" customHeight="1">
      <c r="A213" s="175" t="s">
        <v>136</v>
      </c>
      <c r="B213" s="176"/>
      <c r="C213" s="176"/>
      <c r="D213" s="175" t="s">
        <v>137</v>
      </c>
      <c r="E213" s="176"/>
      <c r="F213" s="176"/>
      <c r="G213" s="191" t="s">
        <v>190</v>
      </c>
      <c r="H213" s="192">
        <v>1.4250000000000001E-2</v>
      </c>
      <c r="I213" s="176"/>
    </row>
    <row r="214" spans="1:9" ht="15.75" customHeight="1">
      <c r="A214" s="177" t="s">
        <v>138</v>
      </c>
      <c r="B214" s="176"/>
      <c r="C214" s="176"/>
      <c r="D214" s="432" t="s">
        <v>514</v>
      </c>
      <c r="E214" s="176"/>
      <c r="F214" s="176"/>
      <c r="G214" s="178" t="s">
        <v>139</v>
      </c>
      <c r="H214" s="179">
        <v>1121.33</v>
      </c>
      <c r="I214" s="177" t="s">
        <v>11</v>
      </c>
    </row>
    <row r="215" spans="1:9" ht="46.5" customHeight="1">
      <c r="A215" s="180" t="s">
        <v>210</v>
      </c>
      <c r="B215" s="563" t="s">
        <v>211</v>
      </c>
      <c r="C215" s="563"/>
      <c r="D215" s="563"/>
      <c r="E215" s="563"/>
      <c r="F215" s="563"/>
      <c r="G215" s="563"/>
      <c r="H215" s="564" t="s">
        <v>143</v>
      </c>
      <c r="I215" s="564"/>
    </row>
    <row r="216" spans="1:9" ht="15.75" customHeight="1">
      <c r="A216" s="569" t="s">
        <v>144</v>
      </c>
      <c r="B216" s="569"/>
      <c r="C216" s="565" t="s">
        <v>8</v>
      </c>
      <c r="D216" s="565" t="s">
        <v>145</v>
      </c>
      <c r="E216" s="565"/>
      <c r="F216" s="565" t="s">
        <v>146</v>
      </c>
      <c r="G216" s="565"/>
      <c r="H216" s="176"/>
      <c r="I216" s="195" t="s">
        <v>147</v>
      </c>
    </row>
    <row r="217" spans="1:9" ht="15.75" customHeight="1">
      <c r="A217" s="569"/>
      <c r="B217" s="569"/>
      <c r="C217" s="565"/>
      <c r="D217" s="182" t="s">
        <v>148</v>
      </c>
      <c r="E217" s="182" t="s">
        <v>149</v>
      </c>
      <c r="F217" s="182" t="s">
        <v>150</v>
      </c>
      <c r="G217" s="182" t="s">
        <v>151</v>
      </c>
      <c r="H217" s="183"/>
      <c r="I217" s="182" t="s">
        <v>152</v>
      </c>
    </row>
    <row r="218" spans="1:9">
      <c r="A218" s="185" t="str">
        <f>'CUSTOS SICRO - SINAPI - ORSE'!D10</f>
        <v>E9571</v>
      </c>
      <c r="B218" s="186" t="str">
        <f>'CUSTOS SICRO - SINAPI - ORSE'!A10</f>
        <v>Caminhão tanque com capacidade de 10.000 l - 188 kW</v>
      </c>
      <c r="C218" s="187">
        <v>2</v>
      </c>
      <c r="D218" s="193">
        <v>0.51</v>
      </c>
      <c r="E218" s="193">
        <v>0.49</v>
      </c>
      <c r="F218" s="188">
        <f>'CUSTOS SICRO - SINAPI - ORSE'!F10</f>
        <v>298.26069999999999</v>
      </c>
      <c r="G218" s="188">
        <f>'CUSTOS SICRO - SINAPI - ORSE'!G10</f>
        <v>89.097099999999998</v>
      </c>
      <c r="H218" s="176"/>
      <c r="I218" s="188">
        <f t="shared" ref="I218:I223" si="2">(((D218*F218)+(E218*G218))*C218)</f>
        <v>391.54107199999999</v>
      </c>
    </row>
    <row r="219" spans="1:9">
      <c r="A219" s="185" t="str">
        <f>'CUSTOS SICRO - SINAPI - ORSE'!D19</f>
        <v>E9518</v>
      </c>
      <c r="B219" s="186" t="str">
        <f>'CUSTOS SICRO - SINAPI - ORSE'!A19</f>
        <v>Grade de 24 discos rebocável de D = 60 cm (24")</v>
      </c>
      <c r="C219" s="187">
        <v>1</v>
      </c>
      <c r="D219" s="193">
        <v>0.69</v>
      </c>
      <c r="E219" s="193">
        <v>0.31</v>
      </c>
      <c r="F219" s="188">
        <f>'CUSTOS SICRO - SINAPI - ORSE'!F19</f>
        <v>4.8484999999999996</v>
      </c>
      <c r="G219" s="188">
        <f>'CUSTOS SICRO - SINAPI - ORSE'!G19</f>
        <v>3.3763999999999998</v>
      </c>
      <c r="H219" s="176"/>
      <c r="I219" s="188">
        <f t="shared" si="2"/>
        <v>4.3921489999999999</v>
      </c>
    </row>
    <row r="220" spans="1:9">
      <c r="A220" s="185" t="str">
        <f>'CUSTOS SICRO - SINAPI - ORSE'!D23</f>
        <v>E9524</v>
      </c>
      <c r="B220" s="186" t="str">
        <f>'CUSTOS SICRO - SINAPI - ORSE'!A23</f>
        <v>Motoniveladora - 93 kW</v>
      </c>
      <c r="C220" s="187">
        <v>1</v>
      </c>
      <c r="D220" s="193">
        <v>0.71</v>
      </c>
      <c r="E220" s="193">
        <v>0.28999999999999998</v>
      </c>
      <c r="F220" s="188">
        <f>'CUSTOS SICRO - SINAPI - ORSE'!F23</f>
        <v>279.14210000000003</v>
      </c>
      <c r="G220" s="188">
        <f>'CUSTOS SICRO - SINAPI - ORSE'!G23</f>
        <v>130.55009999999999</v>
      </c>
      <c r="H220" s="176"/>
      <c r="I220" s="188">
        <f t="shared" si="2"/>
        <v>236.05042000000003</v>
      </c>
    </row>
    <row r="221" spans="1:9">
      <c r="A221" s="185" t="str">
        <f>'CUSTOS SICRO - SINAPI - ORSE'!D30</f>
        <v>E9762</v>
      </c>
      <c r="B221" s="186" t="str">
        <f>'CUSTOS SICRO - SINAPI - ORSE'!A30</f>
        <v>Rolo compactador de pneus autopropelido de 27 t - 85 kW</v>
      </c>
      <c r="C221" s="187">
        <v>1</v>
      </c>
      <c r="D221" s="193">
        <v>0.96</v>
      </c>
      <c r="E221" s="193">
        <v>0.04</v>
      </c>
      <c r="F221" s="188">
        <f>'CUSTOS SICRO - SINAPI - ORSE'!F30</f>
        <v>241.52109999999999</v>
      </c>
      <c r="G221" s="188">
        <f>'CUSTOS SICRO - SINAPI - ORSE'!G30</f>
        <v>125.0121</v>
      </c>
      <c r="H221" s="176"/>
      <c r="I221" s="188">
        <f t="shared" si="2"/>
        <v>236.86073999999999</v>
      </c>
    </row>
    <row r="222" spans="1:9" ht="28.5">
      <c r="A222" s="185" t="str">
        <f>'CUSTOS SICRO - SINAPI - ORSE'!D31</f>
        <v>E9685</v>
      </c>
      <c r="B222" s="186" t="str">
        <f>'CUSTOS SICRO - SINAPI - ORSE'!A31</f>
        <v>Rolo compactador pé de carneiro vibratório autopropelido por pneus de 11,6 t - 82 kW</v>
      </c>
      <c r="C222" s="187">
        <v>1</v>
      </c>
      <c r="D222" s="193">
        <v>1</v>
      </c>
      <c r="E222" s="193">
        <v>0</v>
      </c>
      <c r="F222" s="188">
        <f>'CUSTOS SICRO - SINAPI - ORSE'!F31</f>
        <v>199.6669</v>
      </c>
      <c r="G222" s="188">
        <f>'CUSTOS SICRO - SINAPI - ORSE'!G31</f>
        <v>96.510900000000007</v>
      </c>
      <c r="H222" s="176"/>
      <c r="I222" s="188">
        <f t="shared" si="2"/>
        <v>199.6669</v>
      </c>
    </row>
    <row r="223" spans="1:9">
      <c r="A223" s="185" t="str">
        <f>'CUSTOS SICRO - SINAPI - ORSE'!D35</f>
        <v>E9577</v>
      </c>
      <c r="B223" s="186" t="str">
        <f>'CUSTOS SICRO - SINAPI - ORSE'!A35</f>
        <v>Trator agrícola sobre pneus - 77 kW</v>
      </c>
      <c r="C223" s="187">
        <v>1</v>
      </c>
      <c r="D223" s="193">
        <v>0.69</v>
      </c>
      <c r="E223" s="193">
        <v>0.31</v>
      </c>
      <c r="F223" s="188">
        <f>'CUSTOS SICRO - SINAPI - ORSE'!F35</f>
        <v>126.06010000000001</v>
      </c>
      <c r="G223" s="188">
        <f>'CUSTOS SICRO - SINAPI - ORSE'!G35</f>
        <v>50.948399999999999</v>
      </c>
      <c r="H223" s="176"/>
      <c r="I223" s="188">
        <f t="shared" si="2"/>
        <v>102.77547300000001</v>
      </c>
    </row>
    <row r="224" spans="1:9" ht="15.75" customHeight="1">
      <c r="A224" s="183"/>
      <c r="B224" s="183"/>
      <c r="C224" s="183"/>
      <c r="D224" s="183"/>
      <c r="E224" s="183"/>
      <c r="F224" s="183"/>
      <c r="G224" s="184" t="s">
        <v>153</v>
      </c>
      <c r="H224" s="183"/>
      <c r="I224" s="196">
        <f>ROUNDDOWN(I218+I219+I220+I221+I222+I223,4)</f>
        <v>1171.2867000000001</v>
      </c>
    </row>
    <row r="225" spans="1:9" ht="15.75" customHeight="1">
      <c r="A225" s="181" t="s">
        <v>154</v>
      </c>
      <c r="B225" s="183"/>
      <c r="C225" s="182" t="s">
        <v>8</v>
      </c>
      <c r="D225" s="182" t="s">
        <v>7</v>
      </c>
      <c r="E225" s="183"/>
      <c r="F225" s="182" t="s">
        <v>146</v>
      </c>
      <c r="G225" s="566" t="s">
        <v>155</v>
      </c>
      <c r="H225" s="566"/>
      <c r="I225" s="566"/>
    </row>
    <row r="226" spans="1:9">
      <c r="A226" s="185" t="str">
        <f>'CUSTOS SICRO - SINAPI - ORSE'!D32</f>
        <v>P9824</v>
      </c>
      <c r="B226" s="186" t="str">
        <f>'CUSTOS SICRO - SINAPI - ORSE'!A32</f>
        <v>Servente</v>
      </c>
      <c r="C226" s="187">
        <v>1</v>
      </c>
      <c r="D226" s="185" t="s">
        <v>105</v>
      </c>
      <c r="E226" s="176"/>
      <c r="F226" s="188">
        <f>'CUSTOS SICRO - SINAPI - ORSE'!F32</f>
        <v>21.6083</v>
      </c>
      <c r="G226" s="176"/>
      <c r="H226" s="176"/>
      <c r="I226" s="188">
        <f>C226*F226</f>
        <v>21.6083</v>
      </c>
    </row>
    <row r="227" spans="1:9" ht="15.75" customHeight="1">
      <c r="A227" s="176"/>
      <c r="B227" s="176"/>
      <c r="C227" s="567" t="s">
        <v>156</v>
      </c>
      <c r="D227" s="567"/>
      <c r="E227" s="567"/>
      <c r="F227" s="567"/>
      <c r="G227" s="567"/>
      <c r="H227" s="176"/>
      <c r="I227" s="188">
        <f>SUM(I226)</f>
        <v>21.6083</v>
      </c>
    </row>
    <row r="228" spans="1:9" ht="15.75" customHeight="1">
      <c r="A228" s="183"/>
      <c r="B228" s="183"/>
      <c r="C228" s="566" t="s">
        <v>157</v>
      </c>
      <c r="D228" s="566"/>
      <c r="E228" s="566"/>
      <c r="F228" s="566"/>
      <c r="G228" s="566"/>
      <c r="H228" s="183"/>
      <c r="I228" s="197">
        <f>SUM(I224,I227)</f>
        <v>1192.8950000000002</v>
      </c>
    </row>
    <row r="229" spans="1:9" ht="15.75" customHeight="1">
      <c r="A229" s="176"/>
      <c r="B229" s="176"/>
      <c r="C229" s="567" t="s">
        <v>158</v>
      </c>
      <c r="D229" s="567"/>
      <c r="E229" s="567"/>
      <c r="F229" s="567"/>
      <c r="G229" s="567"/>
      <c r="H229" s="176"/>
      <c r="I229" s="198">
        <f>I228/H214</f>
        <v>1.0638215333577095</v>
      </c>
    </row>
    <row r="230" spans="1:9" ht="15.75" customHeight="1">
      <c r="A230" s="176"/>
      <c r="B230" s="176"/>
      <c r="C230" s="176"/>
      <c r="D230" s="176"/>
      <c r="E230" s="176"/>
      <c r="F230" s="176"/>
      <c r="G230" s="189" t="s">
        <v>159</v>
      </c>
      <c r="H230" s="176"/>
      <c r="I230" s="199">
        <f>ROUNDDOWN(I229*H213,4)</f>
        <v>1.5100000000000001E-2</v>
      </c>
    </row>
    <row r="231" spans="1:9" ht="15.75" customHeight="1">
      <c r="A231" s="183"/>
      <c r="B231" s="183"/>
      <c r="C231" s="183"/>
      <c r="D231" s="183"/>
      <c r="E231" s="183"/>
      <c r="F231" s="183"/>
      <c r="G231" s="184" t="s">
        <v>161</v>
      </c>
      <c r="H231" s="183"/>
      <c r="I231" s="197" t="s">
        <v>160</v>
      </c>
    </row>
    <row r="232" spans="1:9" ht="15.75" customHeight="1">
      <c r="A232" s="181" t="s">
        <v>162</v>
      </c>
      <c r="B232" s="183"/>
      <c r="C232" s="182" t="s">
        <v>8</v>
      </c>
      <c r="D232" s="182" t="s">
        <v>7</v>
      </c>
      <c r="E232" s="183"/>
      <c r="F232" s="182" t="s">
        <v>9</v>
      </c>
      <c r="G232" s="566" t="s">
        <v>163</v>
      </c>
      <c r="H232" s="566"/>
      <c r="I232" s="566"/>
    </row>
    <row r="233" spans="1:9" ht="24.95" customHeight="1">
      <c r="A233" s="183"/>
      <c r="B233" s="183"/>
      <c r="C233" s="566" t="s">
        <v>166</v>
      </c>
      <c r="D233" s="566"/>
      <c r="E233" s="566"/>
      <c r="F233" s="566"/>
      <c r="G233" s="566"/>
      <c r="H233" s="183"/>
      <c r="I233" s="196"/>
    </row>
    <row r="234" spans="1:9" ht="15.75" customHeight="1">
      <c r="A234" s="181" t="s">
        <v>167</v>
      </c>
      <c r="B234" s="183"/>
      <c r="C234" s="182" t="s">
        <v>8</v>
      </c>
      <c r="D234" s="182" t="s">
        <v>7</v>
      </c>
      <c r="E234" s="183"/>
      <c r="F234" s="182" t="s">
        <v>163</v>
      </c>
      <c r="G234" s="566" t="s">
        <v>163</v>
      </c>
      <c r="H234" s="566"/>
      <c r="I234" s="566"/>
    </row>
    <row r="235" spans="1:9" ht="24.95" customHeight="1">
      <c r="A235" s="183"/>
      <c r="B235" s="183"/>
      <c r="C235" s="566" t="s">
        <v>168</v>
      </c>
      <c r="D235" s="566"/>
      <c r="E235" s="566"/>
      <c r="F235" s="566"/>
      <c r="G235" s="566"/>
      <c r="H235" s="183"/>
      <c r="I235" s="196"/>
    </row>
    <row r="236" spans="1:9" ht="15.75" customHeight="1">
      <c r="A236" s="183"/>
      <c r="B236" s="183"/>
      <c r="C236" s="183"/>
      <c r="D236" s="183"/>
      <c r="E236" s="183"/>
      <c r="F236" s="183"/>
      <c r="G236" s="184" t="s">
        <v>169</v>
      </c>
      <c r="H236" s="183"/>
      <c r="I236" s="197">
        <f>SUM(I229:I230)</f>
        <v>1.0789215333577094</v>
      </c>
    </row>
    <row r="237" spans="1:9" ht="15.75" customHeight="1">
      <c r="A237" s="181" t="s">
        <v>170</v>
      </c>
      <c r="B237" s="183"/>
      <c r="C237" s="182" t="s">
        <v>171</v>
      </c>
      <c r="D237" s="182" t="s">
        <v>8</v>
      </c>
      <c r="E237" s="182" t="s">
        <v>7</v>
      </c>
      <c r="F237" s="183"/>
      <c r="G237" s="182" t="s">
        <v>163</v>
      </c>
      <c r="H237" s="566" t="s">
        <v>163</v>
      </c>
      <c r="I237" s="566"/>
    </row>
    <row r="238" spans="1:9" ht="24.95" customHeight="1">
      <c r="A238" s="183"/>
      <c r="B238" s="183"/>
      <c r="C238" s="566" t="s">
        <v>178</v>
      </c>
      <c r="D238" s="566"/>
      <c r="E238" s="566"/>
      <c r="F238" s="566"/>
      <c r="G238" s="566"/>
      <c r="H238" s="183"/>
      <c r="I238" s="197"/>
    </row>
    <row r="239" spans="1:9" ht="15.75" customHeight="1">
      <c r="A239" s="569" t="s">
        <v>179</v>
      </c>
      <c r="B239" s="569"/>
      <c r="C239" s="565" t="s">
        <v>8</v>
      </c>
      <c r="D239" s="565" t="s">
        <v>7</v>
      </c>
      <c r="E239" s="565" t="s">
        <v>180</v>
      </c>
      <c r="F239" s="565"/>
      <c r="G239" s="565"/>
      <c r="H239" s="176"/>
      <c r="I239" s="566" t="s">
        <v>163</v>
      </c>
    </row>
    <row r="240" spans="1:9" ht="15.75" customHeight="1">
      <c r="A240" s="569"/>
      <c r="B240" s="569"/>
      <c r="C240" s="565"/>
      <c r="D240" s="565"/>
      <c r="E240" s="182" t="s">
        <v>181</v>
      </c>
      <c r="F240" s="182" t="s">
        <v>182</v>
      </c>
      <c r="G240" s="182" t="s">
        <v>183</v>
      </c>
      <c r="H240" s="183"/>
      <c r="I240" s="566"/>
    </row>
    <row r="241" spans="1:9" ht="24.95" customHeight="1">
      <c r="A241" s="176"/>
      <c r="B241" s="176"/>
      <c r="C241" s="567" t="s">
        <v>188</v>
      </c>
      <c r="D241" s="567"/>
      <c r="E241" s="567"/>
      <c r="F241" s="567"/>
      <c r="G241" s="567"/>
      <c r="H241" s="176"/>
      <c r="I241" s="176"/>
    </row>
    <row r="242" spans="1:9" ht="15.75" customHeight="1">
      <c r="A242" s="190"/>
      <c r="B242" s="190"/>
      <c r="C242" s="190"/>
      <c r="D242" s="190"/>
      <c r="E242" s="568" t="s">
        <v>189</v>
      </c>
      <c r="F242" s="568"/>
      <c r="G242" s="568"/>
      <c r="H242" s="190"/>
      <c r="I242" s="201">
        <f>ROUND(I236,4)</f>
        <v>1.0789</v>
      </c>
    </row>
    <row r="243" spans="1:9" ht="15.75" thickTop="1"/>
    <row r="244" spans="1:9" ht="23.25" customHeight="1" thickBot="1">
      <c r="A244" s="173" t="s">
        <v>134</v>
      </c>
      <c r="B244" s="174"/>
      <c r="C244" s="174"/>
      <c r="D244" s="174"/>
      <c r="E244" s="174"/>
      <c r="F244" s="174"/>
      <c r="G244" s="174"/>
      <c r="H244" s="174"/>
      <c r="I244" s="194" t="s">
        <v>135</v>
      </c>
    </row>
    <row r="245" spans="1:9" ht="18.75" customHeight="1">
      <c r="A245" s="175" t="s">
        <v>136</v>
      </c>
      <c r="B245" s="176"/>
      <c r="C245" s="176"/>
      <c r="D245" s="175" t="s">
        <v>137</v>
      </c>
      <c r="E245" s="176"/>
      <c r="F245" s="176"/>
      <c r="G245" s="176"/>
      <c r="H245" s="176"/>
      <c r="I245" s="176"/>
    </row>
    <row r="246" spans="1:9" ht="15.75" customHeight="1">
      <c r="A246" s="177" t="s">
        <v>138</v>
      </c>
      <c r="B246" s="176"/>
      <c r="C246" s="176"/>
      <c r="D246" s="432" t="s">
        <v>514</v>
      </c>
      <c r="E246" s="176"/>
      <c r="F246" s="176"/>
      <c r="G246" s="178" t="s">
        <v>139</v>
      </c>
      <c r="H246" s="202">
        <v>3</v>
      </c>
      <c r="I246" s="177" t="s">
        <v>165</v>
      </c>
    </row>
    <row r="247" spans="1:9" ht="30" customHeight="1">
      <c r="A247" s="180" t="s">
        <v>212</v>
      </c>
      <c r="B247" s="563" t="s">
        <v>213</v>
      </c>
      <c r="C247" s="563"/>
      <c r="D247" s="563"/>
      <c r="E247" s="563"/>
      <c r="F247" s="563"/>
      <c r="G247" s="563"/>
      <c r="H247" s="564" t="s">
        <v>143</v>
      </c>
      <c r="I247" s="564"/>
    </row>
    <row r="248" spans="1:9" ht="15.75" customHeight="1">
      <c r="A248" s="569" t="s">
        <v>144</v>
      </c>
      <c r="B248" s="569"/>
      <c r="C248" s="565" t="s">
        <v>8</v>
      </c>
      <c r="D248" s="565" t="s">
        <v>145</v>
      </c>
      <c r="E248" s="565"/>
      <c r="F248" s="565" t="s">
        <v>146</v>
      </c>
      <c r="G248" s="565"/>
      <c r="H248" s="176"/>
      <c r="I248" s="195" t="s">
        <v>147</v>
      </c>
    </row>
    <row r="249" spans="1:9" ht="15.75" customHeight="1">
      <c r="A249" s="569"/>
      <c r="B249" s="569"/>
      <c r="C249" s="565"/>
      <c r="D249" s="182" t="s">
        <v>148</v>
      </c>
      <c r="E249" s="182" t="s">
        <v>149</v>
      </c>
      <c r="F249" s="182" t="s">
        <v>150</v>
      </c>
      <c r="G249" s="182" t="s">
        <v>151</v>
      </c>
      <c r="H249" s="183"/>
      <c r="I249" s="182" t="s">
        <v>152</v>
      </c>
    </row>
    <row r="250" spans="1:9">
      <c r="A250" s="185" t="str">
        <f>'CUSTOS SICRO - SINAPI - ORSE'!D9</f>
        <v>E9687</v>
      </c>
      <c r="B250" s="186" t="str">
        <f>'CUSTOS SICRO - SINAPI - ORSE'!A9</f>
        <v>Caminhão carroceria com capacidade de 5 t - 115 kW</v>
      </c>
      <c r="C250" s="187">
        <v>1</v>
      </c>
      <c r="D250" s="193">
        <v>0.3</v>
      </c>
      <c r="E250" s="193">
        <v>0.7</v>
      </c>
      <c r="F250" s="188">
        <f>'CUSTOS SICRO - SINAPI - ORSE'!F9</f>
        <v>143.74100000000001</v>
      </c>
      <c r="G250" s="188">
        <f>'CUSTOS SICRO - SINAPI - ORSE'!G9</f>
        <v>63.810400000000001</v>
      </c>
      <c r="H250" s="176"/>
      <c r="I250" s="188">
        <f t="shared" ref="I250" si="3">(((D250*F250)+(E250*G250))*C250)</f>
        <v>87.789580000000001</v>
      </c>
    </row>
    <row r="251" spans="1:9" ht="15.75" customHeight="1">
      <c r="A251" s="183"/>
      <c r="B251" s="183"/>
      <c r="C251" s="183"/>
      <c r="D251" s="183"/>
      <c r="E251" s="183"/>
      <c r="F251" s="183"/>
      <c r="G251" s="184" t="s">
        <v>153</v>
      </c>
      <c r="H251" s="183"/>
      <c r="I251" s="196">
        <f>ROUNDUP(I250,4)</f>
        <v>87.789600000000007</v>
      </c>
    </row>
    <row r="252" spans="1:9" ht="15.75" customHeight="1">
      <c r="A252" s="181" t="s">
        <v>154</v>
      </c>
      <c r="B252" s="183"/>
      <c r="C252" s="182" t="s">
        <v>8</v>
      </c>
      <c r="D252" s="182" t="s">
        <v>7</v>
      </c>
      <c r="E252" s="183"/>
      <c r="F252" s="182" t="s">
        <v>146</v>
      </c>
      <c r="G252" s="566" t="s">
        <v>155</v>
      </c>
      <c r="H252" s="566"/>
      <c r="I252" s="566"/>
    </row>
    <row r="253" spans="1:9">
      <c r="A253" s="185" t="str">
        <f>'CUSTOS SICRO - SINAPI - ORSE'!D22</f>
        <v>P9830</v>
      </c>
      <c r="B253" s="186" t="str">
        <f>'CUSTOS SICRO - SINAPI - ORSE'!A22</f>
        <v>Montador</v>
      </c>
      <c r="C253" s="187">
        <v>1</v>
      </c>
      <c r="D253" s="185" t="s">
        <v>105</v>
      </c>
      <c r="E253" s="176"/>
      <c r="F253" s="188">
        <f>'CUSTOS SICRO - SINAPI - ORSE'!F22</f>
        <v>31.332599999999999</v>
      </c>
      <c r="G253" s="176"/>
      <c r="H253" s="176"/>
      <c r="I253" s="188">
        <f>C253*F253</f>
        <v>31.332599999999999</v>
      </c>
    </row>
    <row r="254" spans="1:9">
      <c r="A254" s="185" t="str">
        <f>'CUSTOS SICRO - SINAPI - ORSE'!D32</f>
        <v>P9824</v>
      </c>
      <c r="B254" s="186" t="str">
        <f>'CUSTOS SICRO - SINAPI - ORSE'!A32</f>
        <v>Servente</v>
      </c>
      <c r="C254" s="187">
        <v>2</v>
      </c>
      <c r="D254" s="185" t="s">
        <v>105</v>
      </c>
      <c r="E254" s="176"/>
      <c r="F254" s="188">
        <f>'CUSTOS SICRO - SINAPI - ORSE'!F32</f>
        <v>21.6083</v>
      </c>
      <c r="G254" s="176"/>
      <c r="H254" s="176"/>
      <c r="I254" s="188">
        <f>C254*F254</f>
        <v>43.2166</v>
      </c>
    </row>
    <row r="255" spans="1:9" ht="15.75" customHeight="1">
      <c r="A255" s="176"/>
      <c r="B255" s="176"/>
      <c r="C255" s="567" t="s">
        <v>156</v>
      </c>
      <c r="D255" s="567"/>
      <c r="E255" s="567"/>
      <c r="F255" s="567"/>
      <c r="G255" s="567"/>
      <c r="H255" s="176"/>
      <c r="I255" s="188">
        <f>ROUNDUP(I253+I254,4)</f>
        <v>74.549199999999999</v>
      </c>
    </row>
    <row r="256" spans="1:9" ht="15.75" customHeight="1">
      <c r="A256" s="183"/>
      <c r="B256" s="183"/>
      <c r="C256" s="566" t="s">
        <v>157</v>
      </c>
      <c r="D256" s="566"/>
      <c r="E256" s="566"/>
      <c r="F256" s="566"/>
      <c r="G256" s="566"/>
      <c r="H256" s="183"/>
      <c r="I256" s="197">
        <f>ROUNDUP(I251+I255,4)</f>
        <v>162.33879999999999</v>
      </c>
    </row>
    <row r="257" spans="1:9" ht="15.75" customHeight="1">
      <c r="A257" s="176"/>
      <c r="B257" s="176"/>
      <c r="C257" s="567" t="s">
        <v>158</v>
      </c>
      <c r="D257" s="567"/>
      <c r="E257" s="567"/>
      <c r="F257" s="567"/>
      <c r="G257" s="567"/>
      <c r="H257" s="176"/>
      <c r="I257" s="198">
        <f>ROUNDDOWN(I256/H246,4)</f>
        <v>54.112900000000003</v>
      </c>
    </row>
    <row r="258" spans="1:9" ht="15.75" customHeight="1">
      <c r="A258" s="176"/>
      <c r="B258" s="176"/>
      <c r="C258" s="176"/>
      <c r="D258" s="176"/>
      <c r="E258" s="176"/>
      <c r="F258" s="176"/>
      <c r="G258" s="189" t="s">
        <v>159</v>
      </c>
      <c r="H258" s="176"/>
      <c r="I258" s="199" t="s">
        <v>160</v>
      </c>
    </row>
    <row r="259" spans="1:9" ht="15.75" customHeight="1">
      <c r="A259" s="183"/>
      <c r="B259" s="183"/>
      <c r="C259" s="183"/>
      <c r="D259" s="183"/>
      <c r="E259" s="183"/>
      <c r="F259" s="183"/>
      <c r="G259" s="184" t="s">
        <v>161</v>
      </c>
      <c r="H259" s="183"/>
      <c r="I259" s="197" t="s">
        <v>160</v>
      </c>
    </row>
    <row r="260" spans="1:9" ht="15.75" customHeight="1">
      <c r="A260" s="181" t="s">
        <v>162</v>
      </c>
      <c r="B260" s="183"/>
      <c r="C260" s="182" t="s">
        <v>8</v>
      </c>
      <c r="D260" s="182" t="s">
        <v>7</v>
      </c>
      <c r="E260" s="183"/>
      <c r="F260" s="182" t="s">
        <v>9</v>
      </c>
      <c r="G260" s="566" t="s">
        <v>163</v>
      </c>
      <c r="H260" s="566"/>
      <c r="I260" s="566"/>
    </row>
    <row r="261" spans="1:9" ht="24.95" customHeight="1">
      <c r="A261" s="183"/>
      <c r="B261" s="183"/>
      <c r="C261" s="566" t="s">
        <v>166</v>
      </c>
      <c r="D261" s="566"/>
      <c r="E261" s="566"/>
      <c r="F261" s="566"/>
      <c r="G261" s="566"/>
      <c r="H261" s="183"/>
      <c r="I261" s="196"/>
    </row>
    <row r="262" spans="1:9" ht="15.75" customHeight="1">
      <c r="A262" s="181" t="s">
        <v>167</v>
      </c>
      <c r="B262" s="183"/>
      <c r="C262" s="182" t="s">
        <v>8</v>
      </c>
      <c r="D262" s="182" t="s">
        <v>7</v>
      </c>
      <c r="E262" s="183"/>
      <c r="F262" s="182" t="s">
        <v>163</v>
      </c>
      <c r="G262" s="566" t="s">
        <v>163</v>
      </c>
      <c r="H262" s="566"/>
      <c r="I262" s="566"/>
    </row>
    <row r="263" spans="1:9" ht="28.5">
      <c r="A263" s="185">
        <f>'CUSTOS SICRO - SINAPI - ORSE'!D28</f>
        <v>5213414</v>
      </c>
      <c r="B263" s="186" t="str">
        <f>'CUSTOS SICRO - SINAPI - ORSE'!A28</f>
        <v>Placa em aço nº 16 galvanizado com película retrorrefletiva tipo I + SI - confecção</v>
      </c>
      <c r="C263" s="187">
        <v>0.35993999999999998</v>
      </c>
      <c r="D263" s="185" t="s">
        <v>11</v>
      </c>
      <c r="E263" s="176"/>
      <c r="F263" s="188">
        <f>'CUSTOS SICRO - SINAPI - ORSE'!F28</f>
        <v>555.59</v>
      </c>
      <c r="G263" s="176"/>
      <c r="H263" s="176"/>
      <c r="I263" s="188">
        <f>ROUNDUP(C263*F263,4)</f>
        <v>199.97910000000002</v>
      </c>
    </row>
    <row r="264" spans="1:9" ht="15.75" customHeight="1">
      <c r="A264" s="183"/>
      <c r="B264" s="183"/>
      <c r="C264" s="566" t="s">
        <v>168</v>
      </c>
      <c r="D264" s="566"/>
      <c r="E264" s="566"/>
      <c r="F264" s="566"/>
      <c r="G264" s="566"/>
      <c r="H264" s="183"/>
      <c r="I264" s="196">
        <f>ROUNDDOWN(I263,4)</f>
        <v>199.97909999999999</v>
      </c>
    </row>
    <row r="265" spans="1:9" ht="15.75" customHeight="1">
      <c r="A265" s="183"/>
      <c r="B265" s="183"/>
      <c r="C265" s="183"/>
      <c r="D265" s="183"/>
      <c r="E265" s="183"/>
      <c r="F265" s="183"/>
      <c r="G265" s="184" t="s">
        <v>169</v>
      </c>
      <c r="H265" s="183"/>
      <c r="I265" s="197">
        <f>ROUNDDOWN(I257+I264,4)</f>
        <v>254.09200000000001</v>
      </c>
    </row>
    <row r="266" spans="1:9" ht="15.75" customHeight="1">
      <c r="A266" s="181" t="s">
        <v>170</v>
      </c>
      <c r="B266" s="183"/>
      <c r="C266" s="182" t="s">
        <v>171</v>
      </c>
      <c r="D266" s="182" t="s">
        <v>8</v>
      </c>
      <c r="E266" s="182" t="s">
        <v>7</v>
      </c>
      <c r="F266" s="183"/>
      <c r="G266" s="182" t="s">
        <v>163</v>
      </c>
      <c r="H266" s="566" t="s">
        <v>163</v>
      </c>
      <c r="I266" s="566"/>
    </row>
    <row r="267" spans="1:9" ht="15.75" customHeight="1">
      <c r="A267" s="183"/>
      <c r="B267" s="183"/>
      <c r="C267" s="566" t="s">
        <v>178</v>
      </c>
      <c r="D267" s="566"/>
      <c r="E267" s="566"/>
      <c r="F267" s="566"/>
      <c r="G267" s="566"/>
      <c r="H267" s="183"/>
      <c r="I267" s="197"/>
    </row>
    <row r="268" spans="1:9" ht="15.75" customHeight="1">
      <c r="A268" s="569" t="s">
        <v>179</v>
      </c>
      <c r="B268" s="569"/>
      <c r="C268" s="565" t="s">
        <v>8</v>
      </c>
      <c r="D268" s="565" t="s">
        <v>7</v>
      </c>
      <c r="E268" s="565" t="s">
        <v>180</v>
      </c>
      <c r="F268" s="565"/>
      <c r="G268" s="565"/>
      <c r="H268" s="176"/>
      <c r="I268" s="566" t="s">
        <v>163</v>
      </c>
    </row>
    <row r="269" spans="1:9" ht="15.75" customHeight="1">
      <c r="A269" s="569"/>
      <c r="B269" s="569"/>
      <c r="C269" s="565"/>
      <c r="D269" s="565"/>
      <c r="E269" s="182" t="s">
        <v>181</v>
      </c>
      <c r="F269" s="182" t="s">
        <v>182</v>
      </c>
      <c r="G269" s="182" t="s">
        <v>183</v>
      </c>
      <c r="H269" s="183"/>
      <c r="I269" s="566"/>
    </row>
    <row r="270" spans="1:9" ht="24.95" customHeight="1">
      <c r="A270" s="176"/>
      <c r="B270" s="176"/>
      <c r="C270" s="567" t="s">
        <v>188</v>
      </c>
      <c r="D270" s="567"/>
      <c r="E270" s="567"/>
      <c r="F270" s="567"/>
      <c r="G270" s="567"/>
      <c r="H270" s="176"/>
      <c r="I270" s="176"/>
    </row>
    <row r="271" spans="1:9" ht="15.75" customHeight="1" thickBot="1">
      <c r="A271" s="190"/>
      <c r="B271" s="190"/>
      <c r="C271" s="190"/>
      <c r="D271" s="190"/>
      <c r="E271" s="568" t="s">
        <v>189</v>
      </c>
      <c r="F271" s="568"/>
      <c r="G271" s="568"/>
      <c r="H271" s="190"/>
      <c r="I271" s="201">
        <f>ROUNDUP(I265,4)</f>
        <v>254.09200000000001</v>
      </c>
    </row>
    <row r="272" spans="1:9" ht="15.75" thickTop="1"/>
    <row r="273" spans="1:9" ht="23.25" customHeight="1" thickBot="1">
      <c r="A273" s="173" t="s">
        <v>134</v>
      </c>
      <c r="B273" s="174"/>
      <c r="C273" s="174"/>
      <c r="D273" s="174"/>
      <c r="E273" s="174"/>
      <c r="F273" s="174"/>
      <c r="G273" s="174"/>
      <c r="H273" s="174"/>
      <c r="I273" s="194" t="s">
        <v>135</v>
      </c>
    </row>
    <row r="274" spans="1:9" ht="18.75" customHeight="1">
      <c r="A274" s="175" t="s">
        <v>136</v>
      </c>
      <c r="B274" s="176"/>
      <c r="C274" s="176"/>
      <c r="D274" s="175" t="s">
        <v>137</v>
      </c>
      <c r="E274" s="176"/>
      <c r="F274" s="176"/>
      <c r="G274" s="176"/>
      <c r="H274" s="176"/>
      <c r="I274" s="176"/>
    </row>
    <row r="275" spans="1:9" ht="15.75" customHeight="1">
      <c r="A275" s="177" t="s">
        <v>138</v>
      </c>
      <c r="B275" s="176"/>
      <c r="C275" s="176"/>
      <c r="D275" s="432" t="s">
        <v>514</v>
      </c>
      <c r="E275" s="176"/>
      <c r="F275" s="176"/>
      <c r="G275" s="178" t="s">
        <v>139</v>
      </c>
      <c r="H275" s="202">
        <v>4.0999999999999996</v>
      </c>
      <c r="I275" s="177" t="s">
        <v>165</v>
      </c>
    </row>
    <row r="276" spans="1:9" ht="30" customHeight="1">
      <c r="A276" s="180" t="s">
        <v>215</v>
      </c>
      <c r="B276" s="563" t="s">
        <v>216</v>
      </c>
      <c r="C276" s="563"/>
      <c r="D276" s="563"/>
      <c r="E276" s="563"/>
      <c r="F276" s="563"/>
      <c r="G276" s="563"/>
      <c r="H276" s="564" t="s">
        <v>143</v>
      </c>
      <c r="I276" s="564"/>
    </row>
    <row r="277" spans="1:9" ht="15.75" customHeight="1">
      <c r="A277" s="569" t="s">
        <v>144</v>
      </c>
      <c r="B277" s="569"/>
      <c r="C277" s="565" t="s">
        <v>8</v>
      </c>
      <c r="D277" s="565" t="s">
        <v>145</v>
      </c>
      <c r="E277" s="565"/>
      <c r="F277" s="565" t="s">
        <v>146</v>
      </c>
      <c r="G277" s="565"/>
      <c r="H277" s="176"/>
      <c r="I277" s="195" t="s">
        <v>147</v>
      </c>
    </row>
    <row r="278" spans="1:9" ht="15.75" customHeight="1">
      <c r="A278" s="569"/>
      <c r="B278" s="569"/>
      <c r="C278" s="565"/>
      <c r="D278" s="182" t="s">
        <v>148</v>
      </c>
      <c r="E278" s="182" t="s">
        <v>149</v>
      </c>
      <c r="F278" s="182" t="s">
        <v>150</v>
      </c>
      <c r="G278" s="182" t="s">
        <v>151</v>
      </c>
      <c r="H278" s="183"/>
      <c r="I278" s="182" t="s">
        <v>152</v>
      </c>
    </row>
    <row r="279" spans="1:9">
      <c r="A279" s="185" t="str">
        <f>'CUSTOS SICRO - SINAPI - ORSE'!D9</f>
        <v>E9687</v>
      </c>
      <c r="B279" s="186" t="str">
        <f>'CUSTOS SICRO - SINAPI - ORSE'!A9</f>
        <v>Caminhão carroceria com capacidade de 5 t - 115 kW</v>
      </c>
      <c r="C279" s="187">
        <v>1</v>
      </c>
      <c r="D279" s="193">
        <v>0.3</v>
      </c>
      <c r="E279" s="193">
        <v>0.7</v>
      </c>
      <c r="F279" s="188">
        <f>'CUSTOS SICRO - SINAPI - ORSE'!F9</f>
        <v>143.74100000000001</v>
      </c>
      <c r="G279" s="188">
        <f>'CUSTOS SICRO - SINAPI - ORSE'!G9</f>
        <v>63.810400000000001</v>
      </c>
      <c r="H279" s="176"/>
      <c r="I279" s="188">
        <f t="shared" ref="I279" si="4">(((D279*F279)+(E279*G279))*C279)</f>
        <v>87.789580000000001</v>
      </c>
    </row>
    <row r="280" spans="1:9" ht="15.75" customHeight="1">
      <c r="A280" s="183"/>
      <c r="B280" s="183"/>
      <c r="C280" s="183"/>
      <c r="D280" s="183"/>
      <c r="E280" s="183"/>
      <c r="F280" s="183"/>
      <c r="G280" s="184" t="s">
        <v>153</v>
      </c>
      <c r="H280" s="183"/>
      <c r="I280" s="196">
        <f>ROUNDUP(I279,4)</f>
        <v>87.789600000000007</v>
      </c>
    </row>
    <row r="281" spans="1:9" ht="15.75" customHeight="1">
      <c r="A281" s="181" t="s">
        <v>154</v>
      </c>
      <c r="B281" s="183"/>
      <c r="C281" s="182" t="s">
        <v>8</v>
      </c>
      <c r="D281" s="182" t="s">
        <v>7</v>
      </c>
      <c r="E281" s="183"/>
      <c r="F281" s="182" t="s">
        <v>146</v>
      </c>
      <c r="G281" s="566" t="s">
        <v>155</v>
      </c>
      <c r="H281" s="566"/>
      <c r="I281" s="566"/>
    </row>
    <row r="282" spans="1:9">
      <c r="A282" s="185" t="str">
        <f>'CUSTOS SICRO - SINAPI - ORSE'!D22</f>
        <v>P9830</v>
      </c>
      <c r="B282" s="186" t="str">
        <f>'CUSTOS SICRO - SINAPI - ORSE'!A22</f>
        <v>Montador</v>
      </c>
      <c r="C282" s="187">
        <v>1</v>
      </c>
      <c r="D282" s="185" t="s">
        <v>105</v>
      </c>
      <c r="E282" s="176"/>
      <c r="F282" s="188">
        <f>'CUSTOS SICRO - SINAPI - ORSE'!F22</f>
        <v>31.332599999999999</v>
      </c>
      <c r="G282" s="176"/>
      <c r="H282" s="176"/>
      <c r="I282" s="188">
        <f>ROUND(C282*F282,4)</f>
        <v>31.332599999999999</v>
      </c>
    </row>
    <row r="283" spans="1:9">
      <c r="A283" s="185" t="str">
        <f>'CUSTOS SICRO - SINAPI - ORSE'!D32</f>
        <v>P9824</v>
      </c>
      <c r="B283" s="186" t="str">
        <f>'CUSTOS SICRO - SINAPI - ORSE'!A32</f>
        <v>Servente</v>
      </c>
      <c r="C283" s="187">
        <v>1</v>
      </c>
      <c r="D283" s="185" t="s">
        <v>105</v>
      </c>
      <c r="E283" s="176"/>
      <c r="F283" s="188">
        <f>'CUSTOS SICRO - SINAPI - ORSE'!F32</f>
        <v>21.6083</v>
      </c>
      <c r="G283" s="176"/>
      <c r="H283" s="176"/>
      <c r="I283" s="188">
        <f>ROUND(C283*F283,4)</f>
        <v>21.6083</v>
      </c>
    </row>
    <row r="284" spans="1:9" ht="15.75" customHeight="1">
      <c r="A284" s="176"/>
      <c r="B284" s="176"/>
      <c r="C284" s="567" t="s">
        <v>156</v>
      </c>
      <c r="D284" s="567"/>
      <c r="E284" s="567"/>
      <c r="F284" s="567"/>
      <c r="G284" s="567"/>
      <c r="H284" s="176"/>
      <c r="I284" s="188">
        <f>ROUND(I282+I283,4)</f>
        <v>52.940899999999999</v>
      </c>
    </row>
    <row r="285" spans="1:9" ht="15.75" customHeight="1">
      <c r="A285" s="183"/>
      <c r="B285" s="183"/>
      <c r="C285" s="566" t="s">
        <v>157</v>
      </c>
      <c r="D285" s="566"/>
      <c r="E285" s="566"/>
      <c r="F285" s="566"/>
      <c r="G285" s="566"/>
      <c r="H285" s="183"/>
      <c r="I285" s="197">
        <f>ROUNDUP(I280+I284,4)</f>
        <v>140.73050000000001</v>
      </c>
    </row>
    <row r="286" spans="1:9" ht="15.75" customHeight="1">
      <c r="A286" s="176"/>
      <c r="B286" s="176"/>
      <c r="C286" s="567" t="s">
        <v>158</v>
      </c>
      <c r="D286" s="567"/>
      <c r="E286" s="567"/>
      <c r="F286" s="567"/>
      <c r="G286" s="567"/>
      <c r="H286" s="176"/>
      <c r="I286" s="198">
        <f>ROUNDDOWN(I285/H275,4)</f>
        <v>34.3245</v>
      </c>
    </row>
    <row r="287" spans="1:9" ht="15.75" customHeight="1">
      <c r="A287" s="176"/>
      <c r="B287" s="176"/>
      <c r="C287" s="176"/>
      <c r="D287" s="176"/>
      <c r="E287" s="176"/>
      <c r="F287" s="176"/>
      <c r="G287" s="189" t="s">
        <v>159</v>
      </c>
      <c r="H287" s="176"/>
      <c r="I287" s="199" t="s">
        <v>160</v>
      </c>
    </row>
    <row r="288" spans="1:9" ht="15.75" customHeight="1">
      <c r="A288" s="183"/>
      <c r="B288" s="183"/>
      <c r="C288" s="183"/>
      <c r="D288" s="183"/>
      <c r="E288" s="183"/>
      <c r="F288" s="183"/>
      <c r="G288" s="184" t="s">
        <v>161</v>
      </c>
      <c r="H288" s="183"/>
      <c r="I288" s="197" t="s">
        <v>160</v>
      </c>
    </row>
    <row r="289" spans="1:9" ht="15.75" customHeight="1">
      <c r="A289" s="181" t="s">
        <v>162</v>
      </c>
      <c r="B289" s="183"/>
      <c r="C289" s="182" t="s">
        <v>8</v>
      </c>
      <c r="D289" s="182" t="s">
        <v>7</v>
      </c>
      <c r="E289" s="183"/>
      <c r="F289" s="182" t="s">
        <v>9</v>
      </c>
      <c r="G289" s="566" t="s">
        <v>163</v>
      </c>
      <c r="H289" s="566"/>
      <c r="I289" s="566"/>
    </row>
    <row r="290" spans="1:9" ht="42.75">
      <c r="A290" s="185" t="str">
        <f>'CUSTOS SICRO - SINAPI - ORSE'!D13</f>
        <v>M0789</v>
      </c>
      <c r="B290" s="186" t="str">
        <f>'CUSTOS SICRO - SINAPI - ORSE'!A13</f>
        <v>Conjunto para fixação de placas em aço galvanizado composto por barra chata, abraçadeira, parafusos, porcas e arruelas - Caminhão carroceria 15 t</v>
      </c>
      <c r="C290" s="187">
        <v>0.69699999999999995</v>
      </c>
      <c r="D290" s="185" t="s">
        <v>164</v>
      </c>
      <c r="E290" s="176"/>
      <c r="F290" s="188">
        <f>'CUSTOS SICRO - SINAPI - ORSE'!F13</f>
        <v>29.1463</v>
      </c>
      <c r="G290" s="176"/>
      <c r="H290" s="176"/>
      <c r="I290" s="188">
        <f>ROUND(C290*F290,4)</f>
        <v>20.315000000000001</v>
      </c>
    </row>
    <row r="291" spans="1:9" ht="28.5">
      <c r="A291" s="185" t="str">
        <f>'CUSTOS SICRO - SINAPI - ORSE'!D33</f>
        <v>M0787</v>
      </c>
      <c r="B291" s="186" t="str">
        <f>'CUSTOS SICRO - SINAPI - ORSE'!A33</f>
        <v>Suporte em aço-carbono galvanizado tipo perfil C para placa de sinalização - Caminhão carroceria 15 t</v>
      </c>
      <c r="C291" s="187">
        <v>12.717000000000001</v>
      </c>
      <c r="D291" s="185" t="s">
        <v>164</v>
      </c>
      <c r="E291" s="176"/>
      <c r="F291" s="188">
        <f>'CUSTOS SICRO - SINAPI - ORSE'!F33</f>
        <v>27.845300000000002</v>
      </c>
      <c r="G291" s="176"/>
      <c r="H291" s="176"/>
      <c r="I291" s="188">
        <f>ROUND(C291*F291,4)</f>
        <v>354.1087</v>
      </c>
    </row>
    <row r="292" spans="1:9" ht="15.75" customHeight="1">
      <c r="A292" s="183"/>
      <c r="B292" s="183"/>
      <c r="C292" s="566" t="s">
        <v>166</v>
      </c>
      <c r="D292" s="566"/>
      <c r="E292" s="566"/>
      <c r="F292" s="566"/>
      <c r="G292" s="566"/>
      <c r="H292" s="183"/>
      <c r="I292" s="196">
        <f>ROUND(I290+I291,4)</f>
        <v>374.4237</v>
      </c>
    </row>
    <row r="293" spans="1:9" ht="15.75" customHeight="1">
      <c r="A293" s="181" t="s">
        <v>167</v>
      </c>
      <c r="B293" s="183"/>
      <c r="C293" s="182" t="s">
        <v>8</v>
      </c>
      <c r="D293" s="182" t="s">
        <v>7</v>
      </c>
      <c r="E293" s="183"/>
      <c r="F293" s="182" t="s">
        <v>163</v>
      </c>
      <c r="G293" s="566" t="s">
        <v>163</v>
      </c>
      <c r="H293" s="566"/>
      <c r="I293" s="566"/>
    </row>
    <row r="294" spans="1:9" ht="28.5">
      <c r="A294" s="185">
        <f>'CUSTOS SICRO - SINAPI - ORSE'!D12</f>
        <v>1107892</v>
      </c>
      <c r="B294" s="186" t="str">
        <f>'CUSTOS SICRO - SINAPI - ORSE'!A12</f>
        <v>Concreto fck = 20 MPa - confecção em betoneira e lançamento manual - areia e brita comerciais</v>
      </c>
      <c r="C294" s="187">
        <v>5.0299999999999997E-2</v>
      </c>
      <c r="D294" s="185" t="s">
        <v>191</v>
      </c>
      <c r="E294" s="176"/>
      <c r="F294" s="188">
        <f>'CUSTOS SICRO - SINAPI - ORSE'!F12</f>
        <v>471.62</v>
      </c>
      <c r="G294" s="176"/>
      <c r="H294" s="176"/>
      <c r="I294" s="188">
        <f>ROUND(C294*F294,4)</f>
        <v>23.7225</v>
      </c>
    </row>
    <row r="295" spans="1:9" ht="28.5">
      <c r="A295" s="185">
        <f>'CUSTOS SICRO - SINAPI - ORSE'!D17</f>
        <v>4805750</v>
      </c>
      <c r="B295" s="186" t="str">
        <f>'CUSTOS SICRO - SINAPI - ORSE'!A17</f>
        <v>Escavação manual em material de 1ª categoria na profundidade de até 1 m</v>
      </c>
      <c r="C295" s="187">
        <v>5.0299999999999997E-2</v>
      </c>
      <c r="D295" s="185" t="s">
        <v>191</v>
      </c>
      <c r="E295" s="176"/>
      <c r="F295" s="188">
        <f>'CUSTOS SICRO - SINAPI - ORSE'!F17</f>
        <v>43.83</v>
      </c>
      <c r="G295" s="176"/>
      <c r="H295" s="176"/>
      <c r="I295" s="188">
        <f>ROUND(C295*F295,4)</f>
        <v>2.2046000000000001</v>
      </c>
    </row>
    <row r="296" spans="1:9" ht="15.75" customHeight="1">
      <c r="A296" s="183"/>
      <c r="B296" s="183"/>
      <c r="C296" s="566" t="s">
        <v>168</v>
      </c>
      <c r="D296" s="566"/>
      <c r="E296" s="566"/>
      <c r="F296" s="566"/>
      <c r="G296" s="566"/>
      <c r="H296" s="183"/>
      <c r="I296" s="196">
        <f>ROUND(I294+I295,4)</f>
        <v>25.927099999999999</v>
      </c>
    </row>
    <row r="297" spans="1:9" ht="15.75" customHeight="1">
      <c r="A297" s="183"/>
      <c r="B297" s="183"/>
      <c r="C297" s="183"/>
      <c r="D297" s="183"/>
      <c r="E297" s="183"/>
      <c r="F297" s="183"/>
      <c r="G297" s="184" t="s">
        <v>169</v>
      </c>
      <c r="H297" s="183"/>
      <c r="I297" s="197">
        <f>ROUND(I286+I292+I296,4)</f>
        <v>434.67529999999999</v>
      </c>
    </row>
    <row r="298" spans="1:9" ht="15.75" customHeight="1">
      <c r="A298" s="181" t="s">
        <v>170</v>
      </c>
      <c r="B298" s="183"/>
      <c r="C298" s="182" t="s">
        <v>171</v>
      </c>
      <c r="D298" s="182" t="s">
        <v>8</v>
      </c>
      <c r="E298" s="182" t="s">
        <v>7</v>
      </c>
      <c r="F298" s="183"/>
      <c r="G298" s="182" t="s">
        <v>163</v>
      </c>
      <c r="H298" s="566" t="s">
        <v>163</v>
      </c>
      <c r="I298" s="566"/>
    </row>
    <row r="299" spans="1:9" ht="42.75">
      <c r="A299" s="185" t="s">
        <v>217</v>
      </c>
      <c r="B299" s="186" t="str">
        <f>'CUSTOS SICRO - SINAPI - ORSE'!A14</f>
        <v>Conjunto para fixação de placas em aço galvanizado composto por barra chata, abraçadeira, parafusos, porcas e arruelas - Caminhão carroceria 15 t</v>
      </c>
      <c r="C299" s="185">
        <f>'CUSTOS SICRO - SINAPI - ORSE'!D14</f>
        <v>5914655</v>
      </c>
      <c r="D299" s="187">
        <v>6.9999999999999999E-4</v>
      </c>
      <c r="E299" s="185" t="s">
        <v>174</v>
      </c>
      <c r="F299" s="176"/>
      <c r="G299" s="188">
        <f>'CUSTOS SICRO - SINAPI - ORSE'!F14</f>
        <v>31.89</v>
      </c>
      <c r="H299" s="176"/>
      <c r="I299" s="188">
        <f>ROUND(D299*G299,4)</f>
        <v>2.23E-2</v>
      </c>
    </row>
    <row r="300" spans="1:9" ht="28.5">
      <c r="A300" s="185" t="s">
        <v>218</v>
      </c>
      <c r="B300" s="186" t="str">
        <f>'CUSTOS SICRO - SINAPI - ORSE'!A34</f>
        <v>Suporte em aço-carbono galvanizado tipo perfil C para placa de sinalização - Caminhão carroceria 15 t</v>
      </c>
      <c r="C300" s="185">
        <f>'CUSTOS SICRO - SINAPI - ORSE'!D34</f>
        <v>5914655</v>
      </c>
      <c r="D300" s="187">
        <v>1.272E-2</v>
      </c>
      <c r="E300" s="185" t="s">
        <v>174</v>
      </c>
      <c r="F300" s="176"/>
      <c r="G300" s="188">
        <f>'CUSTOS SICRO - SINAPI - ORSE'!F34</f>
        <v>31.89</v>
      </c>
      <c r="H300" s="176"/>
      <c r="I300" s="188">
        <f>ROUND(D300*G300,4)</f>
        <v>0.40560000000000002</v>
      </c>
    </row>
    <row r="301" spans="1:9" ht="15.75" customHeight="1">
      <c r="A301" s="183"/>
      <c r="B301" s="183"/>
      <c r="C301" s="566" t="s">
        <v>178</v>
      </c>
      <c r="D301" s="566"/>
      <c r="E301" s="566"/>
      <c r="F301" s="566"/>
      <c r="G301" s="566"/>
      <c r="H301" s="183"/>
      <c r="I301" s="197">
        <f>ROUND(I299+I300,4)</f>
        <v>0.4279</v>
      </c>
    </row>
    <row r="302" spans="1:9" ht="15.75" customHeight="1">
      <c r="A302" s="569" t="s">
        <v>179</v>
      </c>
      <c r="B302" s="569"/>
      <c r="C302" s="565" t="s">
        <v>8</v>
      </c>
      <c r="D302" s="565" t="s">
        <v>7</v>
      </c>
      <c r="E302" s="565" t="s">
        <v>180</v>
      </c>
      <c r="F302" s="565"/>
      <c r="G302" s="565"/>
      <c r="H302" s="176"/>
      <c r="I302" s="566" t="s">
        <v>163</v>
      </c>
    </row>
    <row r="303" spans="1:9" ht="15.75" customHeight="1">
      <c r="A303" s="569"/>
      <c r="B303" s="569"/>
      <c r="C303" s="565"/>
      <c r="D303" s="565"/>
      <c r="E303" s="182" t="s">
        <v>181</v>
      </c>
      <c r="F303" s="182" t="s">
        <v>182</v>
      </c>
      <c r="G303" s="182" t="s">
        <v>183</v>
      </c>
      <c r="H303" s="183"/>
      <c r="I303" s="566"/>
    </row>
    <row r="304" spans="1:9" ht="42.75">
      <c r="A304" s="185" t="s">
        <v>217</v>
      </c>
      <c r="B304" s="186" t="s">
        <v>219</v>
      </c>
      <c r="C304" s="187">
        <v>6.9999999999999999E-4</v>
      </c>
      <c r="D304" s="185" t="s">
        <v>184</v>
      </c>
      <c r="E304" s="185" t="s">
        <v>185</v>
      </c>
      <c r="F304" s="185" t="s">
        <v>186</v>
      </c>
      <c r="G304" s="185" t="s">
        <v>187</v>
      </c>
      <c r="H304" s="176"/>
      <c r="I304" s="176"/>
    </row>
    <row r="305" spans="1:9" ht="28.5">
      <c r="A305" s="185" t="s">
        <v>218</v>
      </c>
      <c r="B305" s="186" t="s">
        <v>220</v>
      </c>
      <c r="C305" s="187">
        <v>1.272E-2</v>
      </c>
      <c r="D305" s="185" t="s">
        <v>184</v>
      </c>
      <c r="E305" s="185" t="s">
        <v>185</v>
      </c>
      <c r="F305" s="185" t="s">
        <v>186</v>
      </c>
      <c r="G305" s="185" t="s">
        <v>187</v>
      </c>
      <c r="H305" s="176"/>
      <c r="I305" s="176"/>
    </row>
    <row r="306" spans="1:9" ht="24.95" customHeight="1">
      <c r="A306" s="176"/>
      <c r="B306" s="176"/>
      <c r="C306" s="567" t="s">
        <v>188</v>
      </c>
      <c r="D306" s="567"/>
      <c r="E306" s="567"/>
      <c r="F306" s="567"/>
      <c r="G306" s="567"/>
      <c r="H306" s="176"/>
      <c r="I306" s="176"/>
    </row>
    <row r="307" spans="1:9" ht="15.75" customHeight="1">
      <c r="A307" s="190"/>
      <c r="B307" s="190"/>
      <c r="C307" s="190"/>
      <c r="D307" s="190"/>
      <c r="E307" s="568" t="s">
        <v>189</v>
      </c>
      <c r="F307" s="568"/>
      <c r="G307" s="568"/>
      <c r="H307" s="190"/>
      <c r="I307" s="201">
        <f>ROUND(I297+I301,4)</f>
        <v>435.10320000000002</v>
      </c>
    </row>
    <row r="308" spans="1:9" ht="15.75" customHeight="1">
      <c r="A308" s="203" t="s">
        <v>214</v>
      </c>
    </row>
  </sheetData>
  <mergeCells count="235">
    <mergeCell ref="A164:B165"/>
    <mergeCell ref="A181:B182"/>
    <mergeCell ref="A190:B191"/>
    <mergeCell ref="A155:B156"/>
    <mergeCell ref="C256:G256"/>
    <mergeCell ref="C257:G257"/>
    <mergeCell ref="G260:I260"/>
    <mergeCell ref="C261:G261"/>
    <mergeCell ref="G262:I262"/>
    <mergeCell ref="A129:B130"/>
    <mergeCell ref="A111:B112"/>
    <mergeCell ref="A11:B12"/>
    <mergeCell ref="A36:B37"/>
    <mergeCell ref="A49:B50"/>
    <mergeCell ref="A74:B75"/>
    <mergeCell ref="A84:B85"/>
    <mergeCell ref="A102:B103"/>
    <mergeCell ref="A138:B139"/>
    <mergeCell ref="E307:G307"/>
    <mergeCell ref="C11:C12"/>
    <mergeCell ref="C36:C37"/>
    <mergeCell ref="C49:C50"/>
    <mergeCell ref="C74:C75"/>
    <mergeCell ref="C84:C85"/>
    <mergeCell ref="C102:C103"/>
    <mergeCell ref="C111:C112"/>
    <mergeCell ref="C129:C130"/>
    <mergeCell ref="C138:C139"/>
    <mergeCell ref="C155:C156"/>
    <mergeCell ref="C164:C165"/>
    <mergeCell ref="C181:C182"/>
    <mergeCell ref="C190:C191"/>
    <mergeCell ref="C207:C208"/>
    <mergeCell ref="C216:C217"/>
    <mergeCell ref="C239:C240"/>
    <mergeCell ref="C248:C249"/>
    <mergeCell ref="C268:C269"/>
    <mergeCell ref="C277:C278"/>
    <mergeCell ref="C302:C303"/>
    <mergeCell ref="D36:D37"/>
    <mergeCell ref="D74:D75"/>
    <mergeCell ref="D102:D103"/>
    <mergeCell ref="G293:I293"/>
    <mergeCell ref="C296:G296"/>
    <mergeCell ref="H298:I298"/>
    <mergeCell ref="C301:G301"/>
    <mergeCell ref="E302:G302"/>
    <mergeCell ref="C306:G306"/>
    <mergeCell ref="D302:D303"/>
    <mergeCell ref="I302:I303"/>
    <mergeCell ref="C270:G270"/>
    <mergeCell ref="E271:G271"/>
    <mergeCell ref="B276:G276"/>
    <mergeCell ref="H276:I276"/>
    <mergeCell ref="D277:E277"/>
    <mergeCell ref="F277:G277"/>
    <mergeCell ref="G281:I281"/>
    <mergeCell ref="C284:G284"/>
    <mergeCell ref="C285:G285"/>
    <mergeCell ref="A302:B303"/>
    <mergeCell ref="A277:B278"/>
    <mergeCell ref="C286:G286"/>
    <mergeCell ref="G289:I289"/>
    <mergeCell ref="C292:G292"/>
    <mergeCell ref="C264:G264"/>
    <mergeCell ref="H266:I266"/>
    <mergeCell ref="C267:G267"/>
    <mergeCell ref="E268:G268"/>
    <mergeCell ref="D268:D269"/>
    <mergeCell ref="I268:I269"/>
    <mergeCell ref="E239:G239"/>
    <mergeCell ref="C241:G241"/>
    <mergeCell ref="E242:G242"/>
    <mergeCell ref="B247:G247"/>
    <mergeCell ref="H247:I247"/>
    <mergeCell ref="D248:E248"/>
    <mergeCell ref="F248:G248"/>
    <mergeCell ref="G252:I252"/>
    <mergeCell ref="C255:G255"/>
    <mergeCell ref="D239:D240"/>
    <mergeCell ref="I239:I240"/>
    <mergeCell ref="A268:B269"/>
    <mergeCell ref="A248:B249"/>
    <mergeCell ref="A239:B240"/>
    <mergeCell ref="C227:G227"/>
    <mergeCell ref="C228:G228"/>
    <mergeCell ref="C229:G229"/>
    <mergeCell ref="G232:I232"/>
    <mergeCell ref="C233:G233"/>
    <mergeCell ref="G234:I234"/>
    <mergeCell ref="C235:G235"/>
    <mergeCell ref="H237:I237"/>
    <mergeCell ref="C238:G238"/>
    <mergeCell ref="C206:G206"/>
    <mergeCell ref="E207:G207"/>
    <mergeCell ref="C209:G209"/>
    <mergeCell ref="E210:G210"/>
    <mergeCell ref="B215:G215"/>
    <mergeCell ref="H215:I215"/>
    <mergeCell ref="D216:E216"/>
    <mergeCell ref="F216:G216"/>
    <mergeCell ref="G225:I225"/>
    <mergeCell ref="D207:D208"/>
    <mergeCell ref="I207:I208"/>
    <mergeCell ref="A216:B217"/>
    <mergeCell ref="A207:B208"/>
    <mergeCell ref="G194:I194"/>
    <mergeCell ref="C195:G195"/>
    <mergeCell ref="C196:G196"/>
    <mergeCell ref="C197:G197"/>
    <mergeCell ref="G200:I200"/>
    <mergeCell ref="C201:G201"/>
    <mergeCell ref="G202:I202"/>
    <mergeCell ref="C203:G203"/>
    <mergeCell ref="H205:I205"/>
    <mergeCell ref="C177:G177"/>
    <mergeCell ref="H179:I179"/>
    <mergeCell ref="C180:G180"/>
    <mergeCell ref="E181:G181"/>
    <mergeCell ref="C183:G183"/>
    <mergeCell ref="E184:G184"/>
    <mergeCell ref="B189:G189"/>
    <mergeCell ref="H189:I189"/>
    <mergeCell ref="D190:E190"/>
    <mergeCell ref="F190:G190"/>
    <mergeCell ref="D181:D182"/>
    <mergeCell ref="I181:I182"/>
    <mergeCell ref="D164:E164"/>
    <mergeCell ref="F164:G164"/>
    <mergeCell ref="G168:I168"/>
    <mergeCell ref="C169:G169"/>
    <mergeCell ref="C170:G170"/>
    <mergeCell ref="C171:G171"/>
    <mergeCell ref="G174:I174"/>
    <mergeCell ref="C175:G175"/>
    <mergeCell ref="G176:I176"/>
    <mergeCell ref="C149:G149"/>
    <mergeCell ref="G150:I150"/>
    <mergeCell ref="C151:G151"/>
    <mergeCell ref="H153:I153"/>
    <mergeCell ref="C154:G154"/>
    <mergeCell ref="E155:G155"/>
    <mergeCell ref="C157:G157"/>
    <mergeCell ref="E158:G158"/>
    <mergeCell ref="B163:G163"/>
    <mergeCell ref="H163:I163"/>
    <mergeCell ref="D155:D156"/>
    <mergeCell ref="I155:I156"/>
    <mergeCell ref="B137:G137"/>
    <mergeCell ref="H137:I137"/>
    <mergeCell ref="D138:E138"/>
    <mergeCell ref="F138:G138"/>
    <mergeCell ref="G142:I142"/>
    <mergeCell ref="C143:G143"/>
    <mergeCell ref="C144:G144"/>
    <mergeCell ref="C145:G145"/>
    <mergeCell ref="G148:I148"/>
    <mergeCell ref="G122:I122"/>
    <mergeCell ref="C123:G123"/>
    <mergeCell ref="G124:I124"/>
    <mergeCell ref="C125:G125"/>
    <mergeCell ref="H127:I127"/>
    <mergeCell ref="C128:G128"/>
    <mergeCell ref="E129:G129"/>
    <mergeCell ref="C131:G131"/>
    <mergeCell ref="E132:G132"/>
    <mergeCell ref="D129:D130"/>
    <mergeCell ref="I129:I130"/>
    <mergeCell ref="E105:G105"/>
    <mergeCell ref="B110:G110"/>
    <mergeCell ref="H110:I110"/>
    <mergeCell ref="D111:E111"/>
    <mergeCell ref="F111:G111"/>
    <mergeCell ref="G115:I115"/>
    <mergeCell ref="C117:G117"/>
    <mergeCell ref="C118:G118"/>
    <mergeCell ref="C119:G119"/>
    <mergeCell ref="C92:G92"/>
    <mergeCell ref="G95:I95"/>
    <mergeCell ref="C96:G96"/>
    <mergeCell ref="G97:I97"/>
    <mergeCell ref="C98:G98"/>
    <mergeCell ref="H100:I100"/>
    <mergeCell ref="C101:G101"/>
    <mergeCell ref="E102:G102"/>
    <mergeCell ref="C104:G104"/>
    <mergeCell ref="I102:I103"/>
    <mergeCell ref="C77:G77"/>
    <mergeCell ref="E78:G78"/>
    <mergeCell ref="B83:G83"/>
    <mergeCell ref="H83:I83"/>
    <mergeCell ref="D84:E84"/>
    <mergeCell ref="F84:G84"/>
    <mergeCell ref="G88:I88"/>
    <mergeCell ref="C90:G90"/>
    <mergeCell ref="C91:G91"/>
    <mergeCell ref="C61:G61"/>
    <mergeCell ref="C62:G62"/>
    <mergeCell ref="G65:I65"/>
    <mergeCell ref="C66:G66"/>
    <mergeCell ref="G67:I67"/>
    <mergeCell ref="C69:G69"/>
    <mergeCell ref="H71:I71"/>
    <mergeCell ref="C73:G73"/>
    <mergeCell ref="E74:G74"/>
    <mergeCell ref="I74:I75"/>
    <mergeCell ref="E36:G36"/>
    <mergeCell ref="C42:G42"/>
    <mergeCell ref="E43:G43"/>
    <mergeCell ref="B48:G48"/>
    <mergeCell ref="H48:I48"/>
    <mergeCell ref="D49:E49"/>
    <mergeCell ref="F49:G49"/>
    <mergeCell ref="G58:I58"/>
    <mergeCell ref="C60:G60"/>
    <mergeCell ref="I36:I37"/>
    <mergeCell ref="C16:G16"/>
    <mergeCell ref="C17:G17"/>
    <mergeCell ref="C18:G18"/>
    <mergeCell ref="G21:I21"/>
    <mergeCell ref="C26:G26"/>
    <mergeCell ref="G27:I27"/>
    <mergeCell ref="C28:G28"/>
    <mergeCell ref="H30:I30"/>
    <mergeCell ref="C35:G35"/>
    <mergeCell ref="A1:G1"/>
    <mergeCell ref="A2:G2"/>
    <mergeCell ref="A3:G3"/>
    <mergeCell ref="A5:I5"/>
    <mergeCell ref="B10:G10"/>
    <mergeCell ref="H10:I10"/>
    <mergeCell ref="D11:E11"/>
    <mergeCell ref="F11:G11"/>
    <mergeCell ref="G14:I14"/>
    <mergeCell ref="H1:I3"/>
  </mergeCells>
  <pageMargins left="0.59055118110236227" right="0.59055118110236227" top="0.39370078740157483" bottom="0.39370078740157483" header="0.31496062992125984" footer="0.31496062992125984"/>
  <pageSetup paperSize="9" scale="72" fitToHeight="0" orientation="landscape" r:id="rId1"/>
  <rowBreaks count="9" manualBreakCount="9">
    <brk id="43" max="16383" man="1"/>
    <brk id="78" max="16383" man="1"/>
    <brk id="105" max="16383" man="1"/>
    <brk id="132" max="16383" man="1"/>
    <brk id="158" max="16383" man="1"/>
    <brk id="184" max="16383" man="1"/>
    <brk id="210" max="16383" man="1"/>
    <brk id="242" max="16383" man="1"/>
    <brk id="27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  <pageSetUpPr fitToPage="1"/>
  </sheetPr>
  <dimension ref="A1:H28"/>
  <sheetViews>
    <sheetView view="pageBreakPreview" zoomScaleNormal="115" workbookViewId="0">
      <selection activeCell="A6" sqref="A6:H6"/>
    </sheetView>
  </sheetViews>
  <sheetFormatPr defaultColWidth="9" defaultRowHeight="12.75"/>
  <cols>
    <col min="1" max="3" width="13.28515625" style="154" customWidth="1"/>
    <col min="4" max="4" width="52.7109375" style="154" customWidth="1"/>
    <col min="5" max="5" width="9" style="154"/>
    <col min="6" max="6" width="17.28515625" style="154" customWidth="1"/>
    <col min="7" max="7" width="19.7109375" style="154" customWidth="1"/>
    <col min="8" max="8" width="19.42578125" style="154" customWidth="1"/>
    <col min="9" max="256" width="9" style="154"/>
    <col min="257" max="259" width="13.28515625" style="154" customWidth="1"/>
    <col min="260" max="260" width="52.7109375" style="154" customWidth="1"/>
    <col min="261" max="261" width="9" style="154"/>
    <col min="262" max="262" width="17.28515625" style="154" customWidth="1"/>
    <col min="263" max="263" width="19.7109375" style="154" customWidth="1"/>
    <col min="264" max="264" width="19.42578125" style="154" customWidth="1"/>
    <col min="265" max="512" width="9" style="154"/>
    <col min="513" max="515" width="13.28515625" style="154" customWidth="1"/>
    <col min="516" max="516" width="52.7109375" style="154" customWidth="1"/>
    <col min="517" max="517" width="9" style="154"/>
    <col min="518" max="518" width="17.28515625" style="154" customWidth="1"/>
    <col min="519" max="519" width="19.7109375" style="154" customWidth="1"/>
    <col min="520" max="520" width="19.42578125" style="154" customWidth="1"/>
    <col min="521" max="768" width="9" style="154"/>
    <col min="769" max="771" width="13.28515625" style="154" customWidth="1"/>
    <col min="772" max="772" width="52.7109375" style="154" customWidth="1"/>
    <col min="773" max="773" width="9" style="154"/>
    <col min="774" max="774" width="17.28515625" style="154" customWidth="1"/>
    <col min="775" max="775" width="19.7109375" style="154" customWidth="1"/>
    <col min="776" max="776" width="19.42578125" style="154" customWidth="1"/>
    <col min="777" max="1024" width="9" style="154"/>
    <col min="1025" max="1027" width="13.28515625" style="154" customWidth="1"/>
    <col min="1028" max="1028" width="52.7109375" style="154" customWidth="1"/>
    <col min="1029" max="1029" width="9" style="154"/>
    <col min="1030" max="1030" width="17.28515625" style="154" customWidth="1"/>
    <col min="1031" max="1031" width="19.7109375" style="154" customWidth="1"/>
    <col min="1032" max="1032" width="19.42578125" style="154" customWidth="1"/>
    <col min="1033" max="1280" width="9" style="154"/>
    <col min="1281" max="1283" width="13.28515625" style="154" customWidth="1"/>
    <col min="1284" max="1284" width="52.7109375" style="154" customWidth="1"/>
    <col min="1285" max="1285" width="9" style="154"/>
    <col min="1286" max="1286" width="17.28515625" style="154" customWidth="1"/>
    <col min="1287" max="1287" width="19.7109375" style="154" customWidth="1"/>
    <col min="1288" max="1288" width="19.42578125" style="154" customWidth="1"/>
    <col min="1289" max="1536" width="9" style="154"/>
    <col min="1537" max="1539" width="13.28515625" style="154" customWidth="1"/>
    <col min="1540" max="1540" width="52.7109375" style="154" customWidth="1"/>
    <col min="1541" max="1541" width="9" style="154"/>
    <col min="1542" max="1542" width="17.28515625" style="154" customWidth="1"/>
    <col min="1543" max="1543" width="19.7109375" style="154" customWidth="1"/>
    <col min="1544" max="1544" width="19.42578125" style="154" customWidth="1"/>
    <col min="1545" max="1792" width="9" style="154"/>
    <col min="1793" max="1795" width="13.28515625" style="154" customWidth="1"/>
    <col min="1796" max="1796" width="52.7109375" style="154" customWidth="1"/>
    <col min="1797" max="1797" width="9" style="154"/>
    <col min="1798" max="1798" width="17.28515625" style="154" customWidth="1"/>
    <col min="1799" max="1799" width="19.7109375" style="154" customWidth="1"/>
    <col min="1800" max="1800" width="19.42578125" style="154" customWidth="1"/>
    <col min="1801" max="2048" width="9" style="154"/>
    <col min="2049" max="2051" width="13.28515625" style="154" customWidth="1"/>
    <col min="2052" max="2052" width="52.7109375" style="154" customWidth="1"/>
    <col min="2053" max="2053" width="9" style="154"/>
    <col min="2054" max="2054" width="17.28515625" style="154" customWidth="1"/>
    <col min="2055" max="2055" width="19.7109375" style="154" customWidth="1"/>
    <col min="2056" max="2056" width="19.42578125" style="154" customWidth="1"/>
    <col min="2057" max="2304" width="9" style="154"/>
    <col min="2305" max="2307" width="13.28515625" style="154" customWidth="1"/>
    <col min="2308" max="2308" width="52.7109375" style="154" customWidth="1"/>
    <col min="2309" max="2309" width="9" style="154"/>
    <col min="2310" max="2310" width="17.28515625" style="154" customWidth="1"/>
    <col min="2311" max="2311" width="19.7109375" style="154" customWidth="1"/>
    <col min="2312" max="2312" width="19.42578125" style="154" customWidth="1"/>
    <col min="2313" max="2560" width="9" style="154"/>
    <col min="2561" max="2563" width="13.28515625" style="154" customWidth="1"/>
    <col min="2564" max="2564" width="52.7109375" style="154" customWidth="1"/>
    <col min="2565" max="2565" width="9" style="154"/>
    <col min="2566" max="2566" width="17.28515625" style="154" customWidth="1"/>
    <col min="2567" max="2567" width="19.7109375" style="154" customWidth="1"/>
    <col min="2568" max="2568" width="19.42578125" style="154" customWidth="1"/>
    <col min="2569" max="2816" width="9" style="154"/>
    <col min="2817" max="2819" width="13.28515625" style="154" customWidth="1"/>
    <col min="2820" max="2820" width="52.7109375" style="154" customWidth="1"/>
    <col min="2821" max="2821" width="9" style="154"/>
    <col min="2822" max="2822" width="17.28515625" style="154" customWidth="1"/>
    <col min="2823" max="2823" width="19.7109375" style="154" customWidth="1"/>
    <col min="2824" max="2824" width="19.42578125" style="154" customWidth="1"/>
    <col min="2825" max="3072" width="9" style="154"/>
    <col min="3073" max="3075" width="13.28515625" style="154" customWidth="1"/>
    <col min="3076" max="3076" width="52.7109375" style="154" customWidth="1"/>
    <col min="3077" max="3077" width="9" style="154"/>
    <col min="3078" max="3078" width="17.28515625" style="154" customWidth="1"/>
    <col min="3079" max="3079" width="19.7109375" style="154" customWidth="1"/>
    <col min="3080" max="3080" width="19.42578125" style="154" customWidth="1"/>
    <col min="3081" max="3328" width="9" style="154"/>
    <col min="3329" max="3331" width="13.28515625" style="154" customWidth="1"/>
    <col min="3332" max="3332" width="52.7109375" style="154" customWidth="1"/>
    <col min="3333" max="3333" width="9" style="154"/>
    <col min="3334" max="3334" width="17.28515625" style="154" customWidth="1"/>
    <col min="3335" max="3335" width="19.7109375" style="154" customWidth="1"/>
    <col min="3336" max="3336" width="19.42578125" style="154" customWidth="1"/>
    <col min="3337" max="3584" width="9" style="154"/>
    <col min="3585" max="3587" width="13.28515625" style="154" customWidth="1"/>
    <col min="3588" max="3588" width="52.7109375" style="154" customWidth="1"/>
    <col min="3589" max="3589" width="9" style="154"/>
    <col min="3590" max="3590" width="17.28515625" style="154" customWidth="1"/>
    <col min="3591" max="3591" width="19.7109375" style="154" customWidth="1"/>
    <col min="3592" max="3592" width="19.42578125" style="154" customWidth="1"/>
    <col min="3593" max="3840" width="9" style="154"/>
    <col min="3841" max="3843" width="13.28515625" style="154" customWidth="1"/>
    <col min="3844" max="3844" width="52.7109375" style="154" customWidth="1"/>
    <col min="3845" max="3845" width="9" style="154"/>
    <col min="3846" max="3846" width="17.28515625" style="154" customWidth="1"/>
    <col min="3847" max="3847" width="19.7109375" style="154" customWidth="1"/>
    <col min="3848" max="3848" width="19.42578125" style="154" customWidth="1"/>
    <col min="3849" max="4096" width="9" style="154"/>
    <col min="4097" max="4099" width="13.28515625" style="154" customWidth="1"/>
    <col min="4100" max="4100" width="52.7109375" style="154" customWidth="1"/>
    <col min="4101" max="4101" width="9" style="154"/>
    <col min="4102" max="4102" width="17.28515625" style="154" customWidth="1"/>
    <col min="4103" max="4103" width="19.7109375" style="154" customWidth="1"/>
    <col min="4104" max="4104" width="19.42578125" style="154" customWidth="1"/>
    <col min="4105" max="4352" width="9" style="154"/>
    <col min="4353" max="4355" width="13.28515625" style="154" customWidth="1"/>
    <col min="4356" max="4356" width="52.7109375" style="154" customWidth="1"/>
    <col min="4357" max="4357" width="9" style="154"/>
    <col min="4358" max="4358" width="17.28515625" style="154" customWidth="1"/>
    <col min="4359" max="4359" width="19.7109375" style="154" customWidth="1"/>
    <col min="4360" max="4360" width="19.42578125" style="154" customWidth="1"/>
    <col min="4361" max="4608" width="9" style="154"/>
    <col min="4609" max="4611" width="13.28515625" style="154" customWidth="1"/>
    <col min="4612" max="4612" width="52.7109375" style="154" customWidth="1"/>
    <col min="4613" max="4613" width="9" style="154"/>
    <col min="4614" max="4614" width="17.28515625" style="154" customWidth="1"/>
    <col min="4615" max="4615" width="19.7109375" style="154" customWidth="1"/>
    <col min="4616" max="4616" width="19.42578125" style="154" customWidth="1"/>
    <col min="4617" max="4864" width="9" style="154"/>
    <col min="4865" max="4867" width="13.28515625" style="154" customWidth="1"/>
    <col min="4868" max="4868" width="52.7109375" style="154" customWidth="1"/>
    <col min="4869" max="4869" width="9" style="154"/>
    <col min="4870" max="4870" width="17.28515625" style="154" customWidth="1"/>
    <col min="4871" max="4871" width="19.7109375" style="154" customWidth="1"/>
    <col min="4872" max="4872" width="19.42578125" style="154" customWidth="1"/>
    <col min="4873" max="5120" width="9" style="154"/>
    <col min="5121" max="5123" width="13.28515625" style="154" customWidth="1"/>
    <col min="5124" max="5124" width="52.7109375" style="154" customWidth="1"/>
    <col min="5125" max="5125" width="9" style="154"/>
    <col min="5126" max="5126" width="17.28515625" style="154" customWidth="1"/>
    <col min="5127" max="5127" width="19.7109375" style="154" customWidth="1"/>
    <col min="5128" max="5128" width="19.42578125" style="154" customWidth="1"/>
    <col min="5129" max="5376" width="9" style="154"/>
    <col min="5377" max="5379" width="13.28515625" style="154" customWidth="1"/>
    <col min="5380" max="5380" width="52.7109375" style="154" customWidth="1"/>
    <col min="5381" max="5381" width="9" style="154"/>
    <col min="5382" max="5382" width="17.28515625" style="154" customWidth="1"/>
    <col min="5383" max="5383" width="19.7109375" style="154" customWidth="1"/>
    <col min="5384" max="5384" width="19.42578125" style="154" customWidth="1"/>
    <col min="5385" max="5632" width="9" style="154"/>
    <col min="5633" max="5635" width="13.28515625" style="154" customWidth="1"/>
    <col min="5636" max="5636" width="52.7109375" style="154" customWidth="1"/>
    <col min="5637" max="5637" width="9" style="154"/>
    <col min="5638" max="5638" width="17.28515625" style="154" customWidth="1"/>
    <col min="5639" max="5639" width="19.7109375" style="154" customWidth="1"/>
    <col min="5640" max="5640" width="19.42578125" style="154" customWidth="1"/>
    <col min="5641" max="5888" width="9" style="154"/>
    <col min="5889" max="5891" width="13.28515625" style="154" customWidth="1"/>
    <col min="5892" max="5892" width="52.7109375" style="154" customWidth="1"/>
    <col min="5893" max="5893" width="9" style="154"/>
    <col min="5894" max="5894" width="17.28515625" style="154" customWidth="1"/>
    <col min="5895" max="5895" width="19.7109375" style="154" customWidth="1"/>
    <col min="5896" max="5896" width="19.42578125" style="154" customWidth="1"/>
    <col min="5897" max="6144" width="9" style="154"/>
    <col min="6145" max="6147" width="13.28515625" style="154" customWidth="1"/>
    <col min="6148" max="6148" width="52.7109375" style="154" customWidth="1"/>
    <col min="6149" max="6149" width="9" style="154"/>
    <col min="6150" max="6150" width="17.28515625" style="154" customWidth="1"/>
    <col min="6151" max="6151" width="19.7109375" style="154" customWidth="1"/>
    <col min="6152" max="6152" width="19.42578125" style="154" customWidth="1"/>
    <col min="6153" max="6400" width="9" style="154"/>
    <col min="6401" max="6403" width="13.28515625" style="154" customWidth="1"/>
    <col min="6404" max="6404" width="52.7109375" style="154" customWidth="1"/>
    <col min="6405" max="6405" width="9" style="154"/>
    <col min="6406" max="6406" width="17.28515625" style="154" customWidth="1"/>
    <col min="6407" max="6407" width="19.7109375" style="154" customWidth="1"/>
    <col min="6408" max="6408" width="19.42578125" style="154" customWidth="1"/>
    <col min="6409" max="6656" width="9" style="154"/>
    <col min="6657" max="6659" width="13.28515625" style="154" customWidth="1"/>
    <col min="6660" max="6660" width="52.7109375" style="154" customWidth="1"/>
    <col min="6661" max="6661" width="9" style="154"/>
    <col min="6662" max="6662" width="17.28515625" style="154" customWidth="1"/>
    <col min="6663" max="6663" width="19.7109375" style="154" customWidth="1"/>
    <col min="6664" max="6664" width="19.42578125" style="154" customWidth="1"/>
    <col min="6665" max="6912" width="9" style="154"/>
    <col min="6913" max="6915" width="13.28515625" style="154" customWidth="1"/>
    <col min="6916" max="6916" width="52.7109375" style="154" customWidth="1"/>
    <col min="6917" max="6917" width="9" style="154"/>
    <col min="6918" max="6918" width="17.28515625" style="154" customWidth="1"/>
    <col min="6919" max="6919" width="19.7109375" style="154" customWidth="1"/>
    <col min="6920" max="6920" width="19.42578125" style="154" customWidth="1"/>
    <col min="6921" max="7168" width="9" style="154"/>
    <col min="7169" max="7171" width="13.28515625" style="154" customWidth="1"/>
    <col min="7172" max="7172" width="52.7109375" style="154" customWidth="1"/>
    <col min="7173" max="7173" width="9" style="154"/>
    <col min="7174" max="7174" width="17.28515625" style="154" customWidth="1"/>
    <col min="7175" max="7175" width="19.7109375" style="154" customWidth="1"/>
    <col min="7176" max="7176" width="19.42578125" style="154" customWidth="1"/>
    <col min="7177" max="7424" width="9" style="154"/>
    <col min="7425" max="7427" width="13.28515625" style="154" customWidth="1"/>
    <col min="7428" max="7428" width="52.7109375" style="154" customWidth="1"/>
    <col min="7429" max="7429" width="9" style="154"/>
    <col min="7430" max="7430" width="17.28515625" style="154" customWidth="1"/>
    <col min="7431" max="7431" width="19.7109375" style="154" customWidth="1"/>
    <col min="7432" max="7432" width="19.42578125" style="154" customWidth="1"/>
    <col min="7433" max="7680" width="9" style="154"/>
    <col min="7681" max="7683" width="13.28515625" style="154" customWidth="1"/>
    <col min="7684" max="7684" width="52.7109375" style="154" customWidth="1"/>
    <col min="7685" max="7685" width="9" style="154"/>
    <col min="7686" max="7686" width="17.28515625" style="154" customWidth="1"/>
    <col min="7687" max="7687" width="19.7109375" style="154" customWidth="1"/>
    <col min="7688" max="7688" width="19.42578125" style="154" customWidth="1"/>
    <col min="7689" max="7936" width="9" style="154"/>
    <col min="7937" max="7939" width="13.28515625" style="154" customWidth="1"/>
    <col min="7940" max="7940" width="52.7109375" style="154" customWidth="1"/>
    <col min="7941" max="7941" width="9" style="154"/>
    <col min="7942" max="7942" width="17.28515625" style="154" customWidth="1"/>
    <col min="7943" max="7943" width="19.7109375" style="154" customWidth="1"/>
    <col min="7944" max="7944" width="19.42578125" style="154" customWidth="1"/>
    <col min="7945" max="8192" width="9" style="154"/>
    <col min="8193" max="8195" width="13.28515625" style="154" customWidth="1"/>
    <col min="8196" max="8196" width="52.7109375" style="154" customWidth="1"/>
    <col min="8197" max="8197" width="9" style="154"/>
    <col min="8198" max="8198" width="17.28515625" style="154" customWidth="1"/>
    <col min="8199" max="8199" width="19.7109375" style="154" customWidth="1"/>
    <col min="8200" max="8200" width="19.42578125" style="154" customWidth="1"/>
    <col min="8201" max="8448" width="9" style="154"/>
    <col min="8449" max="8451" width="13.28515625" style="154" customWidth="1"/>
    <col min="8452" max="8452" width="52.7109375" style="154" customWidth="1"/>
    <col min="8453" max="8453" width="9" style="154"/>
    <col min="8454" max="8454" width="17.28515625" style="154" customWidth="1"/>
    <col min="8455" max="8455" width="19.7109375" style="154" customWidth="1"/>
    <col min="8456" max="8456" width="19.42578125" style="154" customWidth="1"/>
    <col min="8457" max="8704" width="9" style="154"/>
    <col min="8705" max="8707" width="13.28515625" style="154" customWidth="1"/>
    <col min="8708" max="8708" width="52.7109375" style="154" customWidth="1"/>
    <col min="8709" max="8709" width="9" style="154"/>
    <col min="8710" max="8710" width="17.28515625" style="154" customWidth="1"/>
    <col min="8711" max="8711" width="19.7109375" style="154" customWidth="1"/>
    <col min="8712" max="8712" width="19.42578125" style="154" customWidth="1"/>
    <col min="8713" max="8960" width="9" style="154"/>
    <col min="8961" max="8963" width="13.28515625" style="154" customWidth="1"/>
    <col min="8964" max="8964" width="52.7109375" style="154" customWidth="1"/>
    <col min="8965" max="8965" width="9" style="154"/>
    <col min="8966" max="8966" width="17.28515625" style="154" customWidth="1"/>
    <col min="8967" max="8967" width="19.7109375" style="154" customWidth="1"/>
    <col min="8968" max="8968" width="19.42578125" style="154" customWidth="1"/>
    <col min="8969" max="9216" width="9" style="154"/>
    <col min="9217" max="9219" width="13.28515625" style="154" customWidth="1"/>
    <col min="9220" max="9220" width="52.7109375" style="154" customWidth="1"/>
    <col min="9221" max="9221" width="9" style="154"/>
    <col min="9222" max="9222" width="17.28515625" style="154" customWidth="1"/>
    <col min="9223" max="9223" width="19.7109375" style="154" customWidth="1"/>
    <col min="9224" max="9224" width="19.42578125" style="154" customWidth="1"/>
    <col min="9225" max="9472" width="9" style="154"/>
    <col min="9473" max="9475" width="13.28515625" style="154" customWidth="1"/>
    <col min="9476" max="9476" width="52.7109375" style="154" customWidth="1"/>
    <col min="9477" max="9477" width="9" style="154"/>
    <col min="9478" max="9478" width="17.28515625" style="154" customWidth="1"/>
    <col min="9479" max="9479" width="19.7109375" style="154" customWidth="1"/>
    <col min="9480" max="9480" width="19.42578125" style="154" customWidth="1"/>
    <col min="9481" max="9728" width="9" style="154"/>
    <col min="9729" max="9731" width="13.28515625" style="154" customWidth="1"/>
    <col min="9732" max="9732" width="52.7109375" style="154" customWidth="1"/>
    <col min="9733" max="9733" width="9" style="154"/>
    <col min="9734" max="9734" width="17.28515625" style="154" customWidth="1"/>
    <col min="9735" max="9735" width="19.7109375" style="154" customWidth="1"/>
    <col min="9736" max="9736" width="19.42578125" style="154" customWidth="1"/>
    <col min="9737" max="9984" width="9" style="154"/>
    <col min="9985" max="9987" width="13.28515625" style="154" customWidth="1"/>
    <col min="9988" max="9988" width="52.7109375" style="154" customWidth="1"/>
    <col min="9989" max="9989" width="9" style="154"/>
    <col min="9990" max="9990" width="17.28515625" style="154" customWidth="1"/>
    <col min="9991" max="9991" width="19.7109375" style="154" customWidth="1"/>
    <col min="9992" max="9992" width="19.42578125" style="154" customWidth="1"/>
    <col min="9993" max="10240" width="9" style="154"/>
    <col min="10241" max="10243" width="13.28515625" style="154" customWidth="1"/>
    <col min="10244" max="10244" width="52.7109375" style="154" customWidth="1"/>
    <col min="10245" max="10245" width="9" style="154"/>
    <col min="10246" max="10246" width="17.28515625" style="154" customWidth="1"/>
    <col min="10247" max="10247" width="19.7109375" style="154" customWidth="1"/>
    <col min="10248" max="10248" width="19.42578125" style="154" customWidth="1"/>
    <col min="10249" max="10496" width="9" style="154"/>
    <col min="10497" max="10499" width="13.28515625" style="154" customWidth="1"/>
    <col min="10500" max="10500" width="52.7109375" style="154" customWidth="1"/>
    <col min="10501" max="10501" width="9" style="154"/>
    <col min="10502" max="10502" width="17.28515625" style="154" customWidth="1"/>
    <col min="10503" max="10503" width="19.7109375" style="154" customWidth="1"/>
    <col min="10504" max="10504" width="19.42578125" style="154" customWidth="1"/>
    <col min="10505" max="10752" width="9" style="154"/>
    <col min="10753" max="10755" width="13.28515625" style="154" customWidth="1"/>
    <col min="10756" max="10756" width="52.7109375" style="154" customWidth="1"/>
    <col min="10757" max="10757" width="9" style="154"/>
    <col min="10758" max="10758" width="17.28515625" style="154" customWidth="1"/>
    <col min="10759" max="10759" width="19.7109375" style="154" customWidth="1"/>
    <col min="10760" max="10760" width="19.42578125" style="154" customWidth="1"/>
    <col min="10761" max="11008" width="9" style="154"/>
    <col min="11009" max="11011" width="13.28515625" style="154" customWidth="1"/>
    <col min="11012" max="11012" width="52.7109375" style="154" customWidth="1"/>
    <col min="11013" max="11013" width="9" style="154"/>
    <col min="11014" max="11014" width="17.28515625" style="154" customWidth="1"/>
    <col min="11015" max="11015" width="19.7109375" style="154" customWidth="1"/>
    <col min="11016" max="11016" width="19.42578125" style="154" customWidth="1"/>
    <col min="11017" max="11264" width="9" style="154"/>
    <col min="11265" max="11267" width="13.28515625" style="154" customWidth="1"/>
    <col min="11268" max="11268" width="52.7109375" style="154" customWidth="1"/>
    <col min="11269" max="11269" width="9" style="154"/>
    <col min="11270" max="11270" width="17.28515625" style="154" customWidth="1"/>
    <col min="11271" max="11271" width="19.7109375" style="154" customWidth="1"/>
    <col min="11272" max="11272" width="19.42578125" style="154" customWidth="1"/>
    <col min="11273" max="11520" width="9" style="154"/>
    <col min="11521" max="11523" width="13.28515625" style="154" customWidth="1"/>
    <col min="11524" max="11524" width="52.7109375" style="154" customWidth="1"/>
    <col min="11525" max="11525" width="9" style="154"/>
    <col min="11526" max="11526" width="17.28515625" style="154" customWidth="1"/>
    <col min="11527" max="11527" width="19.7109375" style="154" customWidth="1"/>
    <col min="11528" max="11528" width="19.42578125" style="154" customWidth="1"/>
    <col min="11529" max="11776" width="9" style="154"/>
    <col min="11777" max="11779" width="13.28515625" style="154" customWidth="1"/>
    <col min="11780" max="11780" width="52.7109375" style="154" customWidth="1"/>
    <col min="11781" max="11781" width="9" style="154"/>
    <col min="11782" max="11782" width="17.28515625" style="154" customWidth="1"/>
    <col min="11783" max="11783" width="19.7109375" style="154" customWidth="1"/>
    <col min="11784" max="11784" width="19.42578125" style="154" customWidth="1"/>
    <col min="11785" max="12032" width="9" style="154"/>
    <col min="12033" max="12035" width="13.28515625" style="154" customWidth="1"/>
    <col min="12036" max="12036" width="52.7109375" style="154" customWidth="1"/>
    <col min="12037" max="12037" width="9" style="154"/>
    <col min="12038" max="12038" width="17.28515625" style="154" customWidth="1"/>
    <col min="12039" max="12039" width="19.7109375" style="154" customWidth="1"/>
    <col min="12040" max="12040" width="19.42578125" style="154" customWidth="1"/>
    <col min="12041" max="12288" width="9" style="154"/>
    <col min="12289" max="12291" width="13.28515625" style="154" customWidth="1"/>
    <col min="12292" max="12292" width="52.7109375" style="154" customWidth="1"/>
    <col min="12293" max="12293" width="9" style="154"/>
    <col min="12294" max="12294" width="17.28515625" style="154" customWidth="1"/>
    <col min="12295" max="12295" width="19.7109375" style="154" customWidth="1"/>
    <col min="12296" max="12296" width="19.42578125" style="154" customWidth="1"/>
    <col min="12297" max="12544" width="9" style="154"/>
    <col min="12545" max="12547" width="13.28515625" style="154" customWidth="1"/>
    <col min="12548" max="12548" width="52.7109375" style="154" customWidth="1"/>
    <col min="12549" max="12549" width="9" style="154"/>
    <col min="12550" max="12550" width="17.28515625" style="154" customWidth="1"/>
    <col min="12551" max="12551" width="19.7109375" style="154" customWidth="1"/>
    <col min="12552" max="12552" width="19.42578125" style="154" customWidth="1"/>
    <col min="12553" max="12800" width="9" style="154"/>
    <col min="12801" max="12803" width="13.28515625" style="154" customWidth="1"/>
    <col min="12804" max="12804" width="52.7109375" style="154" customWidth="1"/>
    <col min="12805" max="12805" width="9" style="154"/>
    <col min="12806" max="12806" width="17.28515625" style="154" customWidth="1"/>
    <col min="12807" max="12807" width="19.7109375" style="154" customWidth="1"/>
    <col min="12808" max="12808" width="19.42578125" style="154" customWidth="1"/>
    <col min="12809" max="13056" width="9" style="154"/>
    <col min="13057" max="13059" width="13.28515625" style="154" customWidth="1"/>
    <col min="13060" max="13060" width="52.7109375" style="154" customWidth="1"/>
    <col min="13061" max="13061" width="9" style="154"/>
    <col min="13062" max="13062" width="17.28515625" style="154" customWidth="1"/>
    <col min="13063" max="13063" width="19.7109375" style="154" customWidth="1"/>
    <col min="13064" max="13064" width="19.42578125" style="154" customWidth="1"/>
    <col min="13065" max="13312" width="9" style="154"/>
    <col min="13313" max="13315" width="13.28515625" style="154" customWidth="1"/>
    <col min="13316" max="13316" width="52.7109375" style="154" customWidth="1"/>
    <col min="13317" max="13317" width="9" style="154"/>
    <col min="13318" max="13318" width="17.28515625" style="154" customWidth="1"/>
    <col min="13319" max="13319" width="19.7109375" style="154" customWidth="1"/>
    <col min="13320" max="13320" width="19.42578125" style="154" customWidth="1"/>
    <col min="13321" max="13568" width="9" style="154"/>
    <col min="13569" max="13571" width="13.28515625" style="154" customWidth="1"/>
    <col min="13572" max="13572" width="52.7109375" style="154" customWidth="1"/>
    <col min="13573" max="13573" width="9" style="154"/>
    <col min="13574" max="13574" width="17.28515625" style="154" customWidth="1"/>
    <col min="13575" max="13575" width="19.7109375" style="154" customWidth="1"/>
    <col min="13576" max="13576" width="19.42578125" style="154" customWidth="1"/>
    <col min="13577" max="13824" width="9" style="154"/>
    <col min="13825" max="13827" width="13.28515625" style="154" customWidth="1"/>
    <col min="13828" max="13828" width="52.7109375" style="154" customWidth="1"/>
    <col min="13829" max="13829" width="9" style="154"/>
    <col min="13830" max="13830" width="17.28515625" style="154" customWidth="1"/>
    <col min="13831" max="13831" width="19.7109375" style="154" customWidth="1"/>
    <col min="13832" max="13832" width="19.42578125" style="154" customWidth="1"/>
    <col min="13833" max="14080" width="9" style="154"/>
    <col min="14081" max="14083" width="13.28515625" style="154" customWidth="1"/>
    <col min="14084" max="14084" width="52.7109375" style="154" customWidth="1"/>
    <col min="14085" max="14085" width="9" style="154"/>
    <col min="14086" max="14086" width="17.28515625" style="154" customWidth="1"/>
    <col min="14087" max="14087" width="19.7109375" style="154" customWidth="1"/>
    <col min="14088" max="14088" width="19.42578125" style="154" customWidth="1"/>
    <col min="14089" max="14336" width="9" style="154"/>
    <col min="14337" max="14339" width="13.28515625" style="154" customWidth="1"/>
    <col min="14340" max="14340" width="52.7109375" style="154" customWidth="1"/>
    <col min="14341" max="14341" width="9" style="154"/>
    <col min="14342" max="14342" width="17.28515625" style="154" customWidth="1"/>
    <col min="14343" max="14343" width="19.7109375" style="154" customWidth="1"/>
    <col min="14344" max="14344" width="19.42578125" style="154" customWidth="1"/>
    <col min="14345" max="14592" width="9" style="154"/>
    <col min="14593" max="14595" width="13.28515625" style="154" customWidth="1"/>
    <col min="14596" max="14596" width="52.7109375" style="154" customWidth="1"/>
    <col min="14597" max="14597" width="9" style="154"/>
    <col min="14598" max="14598" width="17.28515625" style="154" customWidth="1"/>
    <col min="14599" max="14599" width="19.7109375" style="154" customWidth="1"/>
    <col min="14600" max="14600" width="19.42578125" style="154" customWidth="1"/>
    <col min="14601" max="14848" width="9" style="154"/>
    <col min="14849" max="14851" width="13.28515625" style="154" customWidth="1"/>
    <col min="14852" max="14852" width="52.7109375" style="154" customWidth="1"/>
    <col min="14853" max="14853" width="9" style="154"/>
    <col min="14854" max="14854" width="17.28515625" style="154" customWidth="1"/>
    <col min="14855" max="14855" width="19.7109375" style="154" customWidth="1"/>
    <col min="14856" max="14856" width="19.42578125" style="154" customWidth="1"/>
    <col min="14857" max="15104" width="9" style="154"/>
    <col min="15105" max="15107" width="13.28515625" style="154" customWidth="1"/>
    <col min="15108" max="15108" width="52.7109375" style="154" customWidth="1"/>
    <col min="15109" max="15109" width="9" style="154"/>
    <col min="15110" max="15110" width="17.28515625" style="154" customWidth="1"/>
    <col min="15111" max="15111" width="19.7109375" style="154" customWidth="1"/>
    <col min="15112" max="15112" width="19.42578125" style="154" customWidth="1"/>
    <col min="15113" max="15360" width="9" style="154"/>
    <col min="15361" max="15363" width="13.28515625" style="154" customWidth="1"/>
    <col min="15364" max="15364" width="52.7109375" style="154" customWidth="1"/>
    <col min="15365" max="15365" width="9" style="154"/>
    <col min="15366" max="15366" width="17.28515625" style="154" customWidth="1"/>
    <col min="15367" max="15367" width="19.7109375" style="154" customWidth="1"/>
    <col min="15368" max="15368" width="19.42578125" style="154" customWidth="1"/>
    <col min="15369" max="15616" width="9" style="154"/>
    <col min="15617" max="15619" width="13.28515625" style="154" customWidth="1"/>
    <col min="15620" max="15620" width="52.7109375" style="154" customWidth="1"/>
    <col min="15621" max="15621" width="9" style="154"/>
    <col min="15622" max="15622" width="17.28515625" style="154" customWidth="1"/>
    <col min="15623" max="15623" width="19.7109375" style="154" customWidth="1"/>
    <col min="15624" max="15624" width="19.42578125" style="154" customWidth="1"/>
    <col min="15625" max="15872" width="9" style="154"/>
    <col min="15873" max="15875" width="13.28515625" style="154" customWidth="1"/>
    <col min="15876" max="15876" width="52.7109375" style="154" customWidth="1"/>
    <col min="15877" max="15877" width="9" style="154"/>
    <col min="15878" max="15878" width="17.28515625" style="154" customWidth="1"/>
    <col min="15879" max="15879" width="19.7109375" style="154" customWidth="1"/>
    <col min="15880" max="15880" width="19.42578125" style="154" customWidth="1"/>
    <col min="15881" max="16128" width="9" style="154"/>
    <col min="16129" max="16131" width="13.28515625" style="154" customWidth="1"/>
    <col min="16132" max="16132" width="52.7109375" style="154" customWidth="1"/>
    <col min="16133" max="16133" width="9" style="154"/>
    <col min="16134" max="16134" width="17.28515625" style="154" customWidth="1"/>
    <col min="16135" max="16135" width="19.7109375" style="154" customWidth="1"/>
    <col min="16136" max="16136" width="19.42578125" style="154" customWidth="1"/>
    <col min="16137" max="16384" width="9" style="154"/>
  </cols>
  <sheetData>
    <row r="1" spans="1:8">
      <c r="A1" s="155"/>
      <c r="B1" s="156"/>
      <c r="C1" s="156"/>
      <c r="D1" s="577" t="s">
        <v>221</v>
      </c>
      <c r="E1" s="577"/>
      <c r="F1" s="577"/>
      <c r="G1" s="577"/>
      <c r="H1" s="578"/>
    </row>
    <row r="2" spans="1:8">
      <c r="A2" s="157"/>
      <c r="D2" s="579" t="s">
        <v>222</v>
      </c>
      <c r="E2" s="579"/>
      <c r="F2" s="579"/>
      <c r="G2" s="579"/>
      <c r="H2" s="580"/>
    </row>
    <row r="3" spans="1:8">
      <c r="A3" s="157"/>
      <c r="D3" s="579" t="s">
        <v>223</v>
      </c>
      <c r="E3" s="579"/>
      <c r="F3" s="579"/>
      <c r="G3" s="579"/>
      <c r="H3" s="580"/>
    </row>
    <row r="4" spans="1:8">
      <c r="A4" s="157"/>
      <c r="H4" s="158"/>
    </row>
    <row r="5" spans="1:8" ht="15.75">
      <c r="A5" s="754" t="s">
        <v>529</v>
      </c>
      <c r="B5" s="581"/>
      <c r="C5" s="581"/>
      <c r="D5" s="581"/>
      <c r="E5" s="581"/>
      <c r="F5" s="581"/>
      <c r="G5" s="581"/>
      <c r="H5" s="582"/>
    </row>
    <row r="6" spans="1:8" ht="15.75">
      <c r="A6" s="583"/>
      <c r="B6" s="583"/>
      <c r="C6" s="583"/>
      <c r="D6" s="583"/>
      <c r="E6" s="583"/>
      <c r="F6" s="583"/>
      <c r="G6" s="583"/>
      <c r="H6" s="583"/>
    </row>
    <row r="7" spans="1:8" ht="36" customHeight="1">
      <c r="A7" s="584" t="s">
        <v>520</v>
      </c>
      <c r="B7" s="585"/>
      <c r="C7" s="585"/>
      <c r="D7" s="585"/>
      <c r="E7" s="585"/>
      <c r="F7" s="585"/>
      <c r="G7" s="585"/>
      <c r="H7" s="586"/>
    </row>
    <row r="8" spans="1:8">
      <c r="A8" s="587"/>
      <c r="B8" s="588"/>
      <c r="C8" s="588"/>
      <c r="D8" s="588"/>
      <c r="E8" s="588"/>
      <c r="F8" s="588"/>
      <c r="G8" s="588"/>
      <c r="H8" s="589"/>
    </row>
    <row r="9" spans="1:8" ht="34.5" customHeight="1">
      <c r="A9" s="159" t="s">
        <v>224</v>
      </c>
      <c r="B9" s="590" t="s">
        <v>515</v>
      </c>
      <c r="C9" s="591"/>
      <c r="D9" s="591"/>
      <c r="F9" s="592" t="s">
        <v>225</v>
      </c>
      <c r="G9" s="592"/>
      <c r="H9" s="592"/>
    </row>
    <row r="10" spans="1:8" ht="15" customHeight="1">
      <c r="A10" s="157"/>
      <c r="H10" s="158"/>
    </row>
    <row r="11" spans="1:8" ht="35.25" customHeight="1">
      <c r="A11" s="160" t="s">
        <v>226</v>
      </c>
      <c r="B11" s="160" t="s">
        <v>227</v>
      </c>
      <c r="C11" s="160" t="s">
        <v>228</v>
      </c>
      <c r="D11" s="161" t="s">
        <v>229</v>
      </c>
      <c r="E11" s="160" t="s">
        <v>98</v>
      </c>
      <c r="F11" s="162" t="s">
        <v>230</v>
      </c>
      <c r="G11" s="162" t="s">
        <v>231</v>
      </c>
      <c r="H11" s="162" t="s">
        <v>232</v>
      </c>
    </row>
    <row r="12" spans="1:8" ht="27" customHeight="1">
      <c r="A12" s="163" t="s">
        <v>233</v>
      </c>
      <c r="B12" s="163" t="s">
        <v>234</v>
      </c>
      <c r="C12" s="163" t="str">
        <f>'CUSTOS SICRO - SINAPI - ORSE'!D47</f>
        <v>SINAPI 90776</v>
      </c>
      <c r="D12" s="164" t="str">
        <f>'CUSTOS SICRO - SINAPI - ORSE'!A47</f>
        <v>ENCARREGADO GERAL COM ENCARGOS COMPLEMENTARES</v>
      </c>
      <c r="E12" s="163" t="str">
        <f>'CUSTOS SICRO - SINAPI - ORSE'!E47</f>
        <v>H</v>
      </c>
      <c r="F12" s="165">
        <f>8*20</f>
        <v>160</v>
      </c>
      <c r="G12" s="166">
        <f>'CUSTOS SICRO - SINAPI - ORSE'!F47</f>
        <v>36.79</v>
      </c>
      <c r="H12" s="167">
        <f t="shared" ref="H12:H26" si="0">F12*G12</f>
        <v>5886.4</v>
      </c>
    </row>
    <row r="13" spans="1:8" ht="27" customHeight="1">
      <c r="A13" s="163" t="s">
        <v>233</v>
      </c>
      <c r="B13" s="163" t="s">
        <v>234</v>
      </c>
      <c r="C13" s="163" t="str">
        <f>'CUSTOS SICRO - SINAPI - ORSE'!D48</f>
        <v>SINAPI 90777</v>
      </c>
      <c r="D13" s="164" t="str">
        <f>'CUSTOS SICRO - SINAPI - ORSE'!A48</f>
        <v>ENGENHEIRO CIVIL DE OBRA JUNIOR COM ENCARGOS COMPLEMENTARES</v>
      </c>
      <c r="E13" s="163" t="str">
        <f>'CUSTOS SICRO - SINAPI - ORSE'!E48</f>
        <v>H</v>
      </c>
      <c r="F13" s="165">
        <f>8*6</f>
        <v>48</v>
      </c>
      <c r="G13" s="166">
        <f>'CUSTOS SICRO - SINAPI - ORSE'!F48</f>
        <v>113.34</v>
      </c>
      <c r="H13" s="167">
        <f t="shared" si="0"/>
        <v>5440.32</v>
      </c>
    </row>
    <row r="14" spans="1:8" ht="21.95" customHeight="1">
      <c r="A14" s="571"/>
      <c r="B14" s="572"/>
      <c r="C14" s="572"/>
      <c r="D14" s="573"/>
      <c r="E14" s="574" t="s">
        <v>235</v>
      </c>
      <c r="F14" s="575"/>
      <c r="G14" s="576"/>
      <c r="H14" s="168">
        <f>ROUND(SUM(H12:H13),4)</f>
        <v>11326.72</v>
      </c>
    </row>
    <row r="15" spans="1:8" ht="21.95" customHeight="1">
      <c r="A15" s="157"/>
      <c r="H15" s="158"/>
    </row>
    <row r="16" spans="1:8" ht="35.25" customHeight="1">
      <c r="A16" s="160" t="s">
        <v>236</v>
      </c>
      <c r="B16" s="160" t="s">
        <v>227</v>
      </c>
      <c r="C16" s="160" t="s">
        <v>228</v>
      </c>
      <c r="D16" s="161" t="s">
        <v>237</v>
      </c>
      <c r="E16" s="160" t="s">
        <v>238</v>
      </c>
      <c r="F16" s="162" t="s">
        <v>230</v>
      </c>
      <c r="G16" s="162" t="s">
        <v>231</v>
      </c>
      <c r="H16" s="162" t="s">
        <v>232</v>
      </c>
    </row>
    <row r="17" spans="1:8">
      <c r="A17" s="163" t="s">
        <v>239</v>
      </c>
      <c r="B17" s="163" t="s">
        <v>234</v>
      </c>
      <c r="C17" s="163" t="str">
        <f>'CUSTOS SICRO - SINAPI - ORSE'!D54</f>
        <v>SINAPI 5075</v>
      </c>
      <c r="D17" s="164" t="str">
        <f>'CUSTOS SICRO - SINAPI - ORSE'!A54</f>
        <v>PREGO DE ACO POLIDO COM CABECA 18 X 30 (2 3/4 X 10)</v>
      </c>
      <c r="E17" s="163" t="str">
        <f>'CUSTOS SICRO - SINAPI - ORSE'!E54</f>
        <v>KG</v>
      </c>
      <c r="F17" s="169">
        <v>0.11</v>
      </c>
      <c r="G17" s="170">
        <f>'CUSTOS SICRO - SINAPI - ORSE'!F54</f>
        <v>18.239999999999998</v>
      </c>
      <c r="H17" s="167">
        <f t="shared" si="0"/>
        <v>2.0063999999999997</v>
      </c>
    </row>
    <row r="18" spans="1:8" ht="22.5">
      <c r="A18" s="163" t="s">
        <v>239</v>
      </c>
      <c r="B18" s="163" t="s">
        <v>234</v>
      </c>
      <c r="C18" s="163" t="str">
        <f>'CUSTOS SICRO - SINAPI - ORSE'!D53</f>
        <v>SINAPI 4491</v>
      </c>
      <c r="D18" s="164" t="str">
        <f>'CUSTOS SICRO - SINAPI - ORSE'!A53</f>
        <v>PONTALETE *7,5 X 7,5* CM EM PINUS, MISTA OU EQUIVALENTE DA REGIAO - BRUTA</v>
      </c>
      <c r="E18" s="163" t="str">
        <f>'CUSTOS SICRO - SINAPI - ORSE'!E53</f>
        <v>M</v>
      </c>
      <c r="F18" s="169">
        <v>4</v>
      </c>
      <c r="G18" s="166">
        <f>'CUSTOS SICRO - SINAPI - ORSE'!F53</f>
        <v>9.35</v>
      </c>
      <c r="H18" s="167">
        <f t="shared" si="0"/>
        <v>37.4</v>
      </c>
    </row>
    <row r="19" spans="1:8" ht="39" customHeight="1">
      <c r="A19" s="163" t="s">
        <v>239</v>
      </c>
      <c r="B19" s="163" t="s">
        <v>234</v>
      </c>
      <c r="C19" s="163" t="str">
        <f>'CUSTOS SICRO - SINAPI - ORSE'!D55</f>
        <v>SINAPI 4417</v>
      </c>
      <c r="D19" s="164" t="str">
        <f>'CUSTOS SICRO - SINAPI - ORSE'!A55</f>
        <v>SARRAFO NAO APARELHADO *2,5 X 7* CM, EM MACARANDUBA, ANGELIM OU EQUIVALENTE DA REGIAO - BRUTA</v>
      </c>
      <c r="E19" s="163" t="str">
        <f>'CUSTOS SICRO - SINAPI - ORSE'!E55</f>
        <v>M</v>
      </c>
      <c r="F19" s="169">
        <v>1</v>
      </c>
      <c r="G19" s="166">
        <f>'CUSTOS SICRO - SINAPI - ORSE'!F55</f>
        <v>7.41</v>
      </c>
      <c r="H19" s="167">
        <f t="shared" si="0"/>
        <v>7.41</v>
      </c>
    </row>
    <row r="20" spans="1:8" ht="33.75">
      <c r="A20" s="163" t="s">
        <v>239</v>
      </c>
      <c r="B20" s="163" t="s">
        <v>234</v>
      </c>
      <c r="C20" s="163" t="str">
        <f>'CUSTOS SICRO - SINAPI - ORSE'!D52</f>
        <v>SINAPI 4813</v>
      </c>
      <c r="D20" s="164" t="str">
        <f>'CUSTOS SICRO - SINAPI - ORSE'!A52</f>
        <v>PLACA DE OBRA (PARA CONSTRUCAO CIVIL) EM CHAPA GALVANIZADA *N. 22*, ADESIVADA, DE *2,4 X 1,2* M (SEM POSTES PARA FIXACAO)</v>
      </c>
      <c r="E20" s="163" t="str">
        <f>'CUSTOS SICRO - SINAPI - ORSE'!E52</f>
        <v>M²</v>
      </c>
      <c r="F20" s="169">
        <v>1</v>
      </c>
      <c r="G20" s="166">
        <f>'CUSTOS SICRO - SINAPI - ORSE'!F52</f>
        <v>337.5</v>
      </c>
      <c r="H20" s="167">
        <f t="shared" si="0"/>
        <v>337.5</v>
      </c>
    </row>
    <row r="21" spans="1:8" ht="22.5">
      <c r="A21" s="163" t="s">
        <v>239</v>
      </c>
      <c r="B21" s="163" t="s">
        <v>234</v>
      </c>
      <c r="C21" s="163" t="str">
        <f>'CUSTOS SICRO - SINAPI - ORSE'!D40</f>
        <v>SINAPI 370</v>
      </c>
      <c r="D21" s="164" t="str">
        <f>'CUSTOS SICRO - SINAPI - ORSE'!A40</f>
        <v>AREIA MEDIA - POSTO JAZIDA/FORNECEDOR (RETIRADO NA JAZIDA, SEM TRANSPORTE)</v>
      </c>
      <c r="E21" s="163" t="str">
        <f>'CUSTOS SICRO - SINAPI - ORSE'!E40</f>
        <v>M³</v>
      </c>
      <c r="F21" s="169">
        <v>4.8999999999999998E-3</v>
      </c>
      <c r="G21" s="166">
        <f>'CUSTOS SICRO - SINAPI - ORSE'!F40</f>
        <v>110</v>
      </c>
      <c r="H21" s="167">
        <f t="shared" si="0"/>
        <v>0.53900000000000003</v>
      </c>
    </row>
    <row r="22" spans="1:8">
      <c r="A22" s="163" t="s">
        <v>239</v>
      </c>
      <c r="B22" s="163" t="s">
        <v>234</v>
      </c>
      <c r="C22" s="163" t="str">
        <f>'CUSTOS SICRO - SINAPI - ORSE'!D45</f>
        <v>SINAPI 1379</v>
      </c>
      <c r="D22" s="164" t="str">
        <f>'CUSTOS SICRO - SINAPI - ORSE'!A45</f>
        <v xml:space="preserve">CIMENTO PORTLAND COMPOSTO CP II-32 </v>
      </c>
      <c r="E22" s="163" t="str">
        <f>'CUSTOS SICRO - SINAPI - ORSE'!E45</f>
        <v>KG</v>
      </c>
      <c r="F22" s="169">
        <v>1.5</v>
      </c>
      <c r="G22" s="166">
        <f>'CUSTOS SICRO - SINAPI - ORSE'!F45</f>
        <v>0.78</v>
      </c>
      <c r="H22" s="167">
        <f t="shared" si="0"/>
        <v>1.17</v>
      </c>
    </row>
    <row r="23" spans="1:8" ht="22.5">
      <c r="A23" s="163" t="s">
        <v>239</v>
      </c>
      <c r="B23" s="163" t="s">
        <v>234</v>
      </c>
      <c r="C23" s="163" t="str">
        <f>'CUSTOS SICRO - SINAPI - ORSE'!D51</f>
        <v>SINAPI 4718</v>
      </c>
      <c r="D23" s="164" t="str">
        <f>'CUSTOS SICRO - SINAPI - ORSE'!A51</f>
        <v>PEDRA BRITADA N. 2 (19 A 38 MM) POSTO PEDREIRA/FORNECEDOR, SEM FRETE</v>
      </c>
      <c r="E23" s="163" t="str">
        <f>'CUSTOS SICRO - SINAPI - ORSE'!E51</f>
        <v>M³</v>
      </c>
      <c r="F23" s="169">
        <v>9.7999999999999997E-3</v>
      </c>
      <c r="G23" s="166">
        <f>'CUSTOS SICRO - SINAPI - ORSE'!F51</f>
        <v>112.81</v>
      </c>
      <c r="H23" s="167">
        <f t="shared" si="0"/>
        <v>1.1055379999999999</v>
      </c>
    </row>
    <row r="24" spans="1:8" ht="33.75">
      <c r="A24" s="163" t="s">
        <v>240</v>
      </c>
      <c r="B24" s="163" t="s">
        <v>234</v>
      </c>
      <c r="C24" s="163" t="str">
        <f>'CUSTOS SICRO - SINAPI - ORSE'!D42</f>
        <v>SINAPI 87445</v>
      </c>
      <c r="D24" s="164" t="str">
        <f>'CUSTOS SICRO - SINAPI - ORSE'!A42</f>
        <v>BETONEIRA CAPACIDADE NOMINAL 400 L, CAPACIDADE DE MISTURA 310 L, MOTOR A DIESEL POTÊNCIA 5,0 HP, SEM CARREGADOR - CHP DIURNO. AF_06/2014</v>
      </c>
      <c r="E24" s="163" t="str">
        <f>'CUSTOS SICRO - SINAPI - ORSE'!E42</f>
        <v>H</v>
      </c>
      <c r="F24" s="169">
        <v>6.4999999999999997E-3</v>
      </c>
      <c r="G24" s="166">
        <f>'CUSTOS SICRO - SINAPI - ORSE'!F42</f>
        <v>5.37</v>
      </c>
      <c r="H24" s="167">
        <f t="shared" si="0"/>
        <v>3.4904999999999999E-2</v>
      </c>
    </row>
    <row r="25" spans="1:8">
      <c r="A25" s="163" t="s">
        <v>240</v>
      </c>
      <c r="B25" s="163" t="s">
        <v>234</v>
      </c>
      <c r="C25" s="163" t="str">
        <f>'CUSTOS SICRO - SINAPI - ORSE'!D44</f>
        <v>SINAPI 88262</v>
      </c>
      <c r="D25" s="164" t="str">
        <f>'CUSTOS SICRO - SINAPI - ORSE'!A44</f>
        <v>CARPINTEIRO DE FORMAS COM ENCARGOS COMPLEMENTARES</v>
      </c>
      <c r="E25" s="163" t="str">
        <f>'CUSTOS SICRO - SINAPI - ORSE'!E44</f>
        <v>H</v>
      </c>
      <c r="F25" s="169">
        <v>1</v>
      </c>
      <c r="G25" s="166">
        <f>'CUSTOS SICRO - SINAPI - ORSE'!F44</f>
        <v>30.2</v>
      </c>
      <c r="H25" s="167">
        <f t="shared" si="0"/>
        <v>30.2</v>
      </c>
    </row>
    <row r="26" spans="1:8">
      <c r="A26" s="163" t="s">
        <v>240</v>
      </c>
      <c r="B26" s="163" t="s">
        <v>234</v>
      </c>
      <c r="C26" s="163" t="str">
        <f>'CUSTOS SICRO - SINAPI - ORSE'!D56</f>
        <v>SINAPI 88316</v>
      </c>
      <c r="D26" s="164" t="str">
        <f>'CUSTOS SICRO - SINAPI - ORSE'!A56</f>
        <v>SERVENTE COM ENCARGOS COMPLEMENTARES</v>
      </c>
      <c r="E26" s="171" t="str">
        <f>'CUSTOS SICRO - SINAPI - ORSE'!E56</f>
        <v>H</v>
      </c>
      <c r="F26" s="172">
        <v>2.06</v>
      </c>
      <c r="G26" s="170">
        <f>'CUSTOS SICRO - SINAPI - ORSE'!F56</f>
        <v>21.66</v>
      </c>
      <c r="H26" s="167">
        <f t="shared" si="0"/>
        <v>44.619599999999998</v>
      </c>
    </row>
    <row r="27" spans="1:8" ht="21.95" customHeight="1">
      <c r="A27" s="571"/>
      <c r="B27" s="572"/>
      <c r="C27" s="572"/>
      <c r="D27" s="573"/>
      <c r="E27" s="574" t="s">
        <v>235</v>
      </c>
      <c r="F27" s="575"/>
      <c r="G27" s="576"/>
      <c r="H27" s="168">
        <f>ROUND(SUM(H17:H26),4)</f>
        <v>461.98540000000003</v>
      </c>
    </row>
    <row r="28" spans="1:8">
      <c r="A28" s="157"/>
    </row>
  </sheetData>
  <mergeCells count="12">
    <mergeCell ref="A27:D27"/>
    <mergeCell ref="E27:G27"/>
    <mergeCell ref="D1:H1"/>
    <mergeCell ref="D2:H2"/>
    <mergeCell ref="D3:H3"/>
    <mergeCell ref="A5:H5"/>
    <mergeCell ref="A6:H6"/>
    <mergeCell ref="A7:H8"/>
    <mergeCell ref="B9:D9"/>
    <mergeCell ref="F9:H9"/>
    <mergeCell ref="A14:D14"/>
    <mergeCell ref="E14:G14"/>
  </mergeCells>
  <printOptions horizontalCentered="1"/>
  <pageMargins left="0.59055118110236204" right="0.59055118110236204" top="0.78740157480314998" bottom="0.59055118110236204" header="0.31496062992126" footer="0.31496062992126"/>
  <pageSetup paperSize="9" scale="8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  <pageSetUpPr fitToPage="1"/>
  </sheetPr>
  <dimension ref="B1:J31"/>
  <sheetViews>
    <sheetView view="pageBreakPreview" zoomScale="145" zoomScaleNormal="100" workbookViewId="0">
      <selection activeCell="C2" sqref="C2:H2"/>
    </sheetView>
  </sheetViews>
  <sheetFormatPr defaultColWidth="10.28515625" defaultRowHeight="12.75"/>
  <cols>
    <col min="1" max="1" width="10.28515625" style="119"/>
    <col min="2" max="2" width="10.28515625" style="118"/>
    <col min="3" max="3" width="13.7109375" style="119" customWidth="1"/>
    <col min="4" max="4" width="39.140625" style="119" customWidth="1"/>
    <col min="5" max="6" width="10.28515625" style="119"/>
    <col min="7" max="7" width="20.7109375" style="119" customWidth="1"/>
    <col min="8" max="8" width="16.42578125" style="119" customWidth="1"/>
    <col min="9" max="9" width="18.42578125" style="120" customWidth="1"/>
    <col min="10" max="259" width="10.28515625" style="119"/>
    <col min="260" max="260" width="29.42578125" style="119" customWidth="1"/>
    <col min="261" max="262" width="10.28515625" style="119"/>
    <col min="263" max="263" width="21.42578125" style="119" customWidth="1"/>
    <col min="264" max="264" width="13.5703125" style="119" customWidth="1"/>
    <col min="265" max="515" width="10.28515625" style="119"/>
    <col min="516" max="516" width="29.42578125" style="119" customWidth="1"/>
    <col min="517" max="518" width="10.28515625" style="119"/>
    <col min="519" max="519" width="21.42578125" style="119" customWidth="1"/>
    <col min="520" max="520" width="13.5703125" style="119" customWidth="1"/>
    <col min="521" max="771" width="10.28515625" style="119"/>
    <col min="772" max="772" width="29.42578125" style="119" customWidth="1"/>
    <col min="773" max="774" width="10.28515625" style="119"/>
    <col min="775" max="775" width="21.42578125" style="119" customWidth="1"/>
    <col min="776" max="776" width="13.5703125" style="119" customWidth="1"/>
    <col min="777" max="1027" width="10.28515625" style="119"/>
    <col min="1028" max="1028" width="29.42578125" style="119" customWidth="1"/>
    <col min="1029" max="1030" width="10.28515625" style="119"/>
    <col min="1031" max="1031" width="21.42578125" style="119" customWidth="1"/>
    <col min="1032" max="1032" width="13.5703125" style="119" customWidth="1"/>
    <col min="1033" max="1283" width="10.28515625" style="119"/>
    <col min="1284" max="1284" width="29.42578125" style="119" customWidth="1"/>
    <col min="1285" max="1286" width="10.28515625" style="119"/>
    <col min="1287" max="1287" width="21.42578125" style="119" customWidth="1"/>
    <col min="1288" max="1288" width="13.5703125" style="119" customWidth="1"/>
    <col min="1289" max="1539" width="10.28515625" style="119"/>
    <col min="1540" max="1540" width="29.42578125" style="119" customWidth="1"/>
    <col min="1541" max="1542" width="10.28515625" style="119"/>
    <col min="1543" max="1543" width="21.42578125" style="119" customWidth="1"/>
    <col min="1544" max="1544" width="13.5703125" style="119" customWidth="1"/>
    <col min="1545" max="1795" width="10.28515625" style="119"/>
    <col min="1796" max="1796" width="29.42578125" style="119" customWidth="1"/>
    <col min="1797" max="1798" width="10.28515625" style="119"/>
    <col min="1799" max="1799" width="21.42578125" style="119" customWidth="1"/>
    <col min="1800" max="1800" width="13.5703125" style="119" customWidth="1"/>
    <col min="1801" max="2051" width="10.28515625" style="119"/>
    <col min="2052" max="2052" width="29.42578125" style="119" customWidth="1"/>
    <col min="2053" max="2054" width="10.28515625" style="119"/>
    <col min="2055" max="2055" width="21.42578125" style="119" customWidth="1"/>
    <col min="2056" max="2056" width="13.5703125" style="119" customWidth="1"/>
    <col min="2057" max="2307" width="10.28515625" style="119"/>
    <col min="2308" max="2308" width="29.42578125" style="119" customWidth="1"/>
    <col min="2309" max="2310" width="10.28515625" style="119"/>
    <col min="2311" max="2311" width="21.42578125" style="119" customWidth="1"/>
    <col min="2312" max="2312" width="13.5703125" style="119" customWidth="1"/>
    <col min="2313" max="2563" width="10.28515625" style="119"/>
    <col min="2564" max="2564" width="29.42578125" style="119" customWidth="1"/>
    <col min="2565" max="2566" width="10.28515625" style="119"/>
    <col min="2567" max="2567" width="21.42578125" style="119" customWidth="1"/>
    <col min="2568" max="2568" width="13.5703125" style="119" customWidth="1"/>
    <col min="2569" max="2819" width="10.28515625" style="119"/>
    <col min="2820" max="2820" width="29.42578125" style="119" customWidth="1"/>
    <col min="2821" max="2822" width="10.28515625" style="119"/>
    <col min="2823" max="2823" width="21.42578125" style="119" customWidth="1"/>
    <col min="2824" max="2824" width="13.5703125" style="119" customWidth="1"/>
    <col min="2825" max="3075" width="10.28515625" style="119"/>
    <col min="3076" max="3076" width="29.42578125" style="119" customWidth="1"/>
    <col min="3077" max="3078" width="10.28515625" style="119"/>
    <col min="3079" max="3079" width="21.42578125" style="119" customWidth="1"/>
    <col min="3080" max="3080" width="13.5703125" style="119" customWidth="1"/>
    <col min="3081" max="3331" width="10.28515625" style="119"/>
    <col min="3332" max="3332" width="29.42578125" style="119" customWidth="1"/>
    <col min="3333" max="3334" width="10.28515625" style="119"/>
    <col min="3335" max="3335" width="21.42578125" style="119" customWidth="1"/>
    <col min="3336" max="3336" width="13.5703125" style="119" customWidth="1"/>
    <col min="3337" max="3587" width="10.28515625" style="119"/>
    <col min="3588" max="3588" width="29.42578125" style="119" customWidth="1"/>
    <col min="3589" max="3590" width="10.28515625" style="119"/>
    <col min="3591" max="3591" width="21.42578125" style="119" customWidth="1"/>
    <col min="3592" max="3592" width="13.5703125" style="119" customWidth="1"/>
    <col min="3593" max="3843" width="10.28515625" style="119"/>
    <col min="3844" max="3844" width="29.42578125" style="119" customWidth="1"/>
    <col min="3845" max="3846" width="10.28515625" style="119"/>
    <col min="3847" max="3847" width="21.42578125" style="119" customWidth="1"/>
    <col min="3848" max="3848" width="13.5703125" style="119" customWidth="1"/>
    <col min="3849" max="4099" width="10.28515625" style="119"/>
    <col min="4100" max="4100" width="29.42578125" style="119" customWidth="1"/>
    <col min="4101" max="4102" width="10.28515625" style="119"/>
    <col min="4103" max="4103" width="21.42578125" style="119" customWidth="1"/>
    <col min="4104" max="4104" width="13.5703125" style="119" customWidth="1"/>
    <col min="4105" max="4355" width="10.28515625" style="119"/>
    <col min="4356" max="4356" width="29.42578125" style="119" customWidth="1"/>
    <col min="4357" max="4358" width="10.28515625" style="119"/>
    <col min="4359" max="4359" width="21.42578125" style="119" customWidth="1"/>
    <col min="4360" max="4360" width="13.5703125" style="119" customWidth="1"/>
    <col min="4361" max="4611" width="10.28515625" style="119"/>
    <col min="4612" max="4612" width="29.42578125" style="119" customWidth="1"/>
    <col min="4613" max="4614" width="10.28515625" style="119"/>
    <col min="4615" max="4615" width="21.42578125" style="119" customWidth="1"/>
    <col min="4616" max="4616" width="13.5703125" style="119" customWidth="1"/>
    <col min="4617" max="4867" width="10.28515625" style="119"/>
    <col min="4868" max="4868" width="29.42578125" style="119" customWidth="1"/>
    <col min="4869" max="4870" width="10.28515625" style="119"/>
    <col min="4871" max="4871" width="21.42578125" style="119" customWidth="1"/>
    <col min="4872" max="4872" width="13.5703125" style="119" customWidth="1"/>
    <col min="4873" max="5123" width="10.28515625" style="119"/>
    <col min="5124" max="5124" width="29.42578125" style="119" customWidth="1"/>
    <col min="5125" max="5126" width="10.28515625" style="119"/>
    <col min="5127" max="5127" width="21.42578125" style="119" customWidth="1"/>
    <col min="5128" max="5128" width="13.5703125" style="119" customWidth="1"/>
    <col min="5129" max="5379" width="10.28515625" style="119"/>
    <col min="5380" max="5380" width="29.42578125" style="119" customWidth="1"/>
    <col min="5381" max="5382" width="10.28515625" style="119"/>
    <col min="5383" max="5383" width="21.42578125" style="119" customWidth="1"/>
    <col min="5384" max="5384" width="13.5703125" style="119" customWidth="1"/>
    <col min="5385" max="5635" width="10.28515625" style="119"/>
    <col min="5636" max="5636" width="29.42578125" style="119" customWidth="1"/>
    <col min="5637" max="5638" width="10.28515625" style="119"/>
    <col min="5639" max="5639" width="21.42578125" style="119" customWidth="1"/>
    <col min="5640" max="5640" width="13.5703125" style="119" customWidth="1"/>
    <col min="5641" max="5891" width="10.28515625" style="119"/>
    <col min="5892" max="5892" width="29.42578125" style="119" customWidth="1"/>
    <col min="5893" max="5894" width="10.28515625" style="119"/>
    <col min="5895" max="5895" width="21.42578125" style="119" customWidth="1"/>
    <col min="5896" max="5896" width="13.5703125" style="119" customWidth="1"/>
    <col min="5897" max="6147" width="10.28515625" style="119"/>
    <col min="6148" max="6148" width="29.42578125" style="119" customWidth="1"/>
    <col min="6149" max="6150" width="10.28515625" style="119"/>
    <col min="6151" max="6151" width="21.42578125" style="119" customWidth="1"/>
    <col min="6152" max="6152" width="13.5703125" style="119" customWidth="1"/>
    <col min="6153" max="6403" width="10.28515625" style="119"/>
    <col min="6404" max="6404" width="29.42578125" style="119" customWidth="1"/>
    <col min="6405" max="6406" width="10.28515625" style="119"/>
    <col min="6407" max="6407" width="21.42578125" style="119" customWidth="1"/>
    <col min="6408" max="6408" width="13.5703125" style="119" customWidth="1"/>
    <col min="6409" max="6659" width="10.28515625" style="119"/>
    <col min="6660" max="6660" width="29.42578125" style="119" customWidth="1"/>
    <col min="6661" max="6662" width="10.28515625" style="119"/>
    <col min="6663" max="6663" width="21.42578125" style="119" customWidth="1"/>
    <col min="6664" max="6664" width="13.5703125" style="119" customWidth="1"/>
    <col min="6665" max="6915" width="10.28515625" style="119"/>
    <col min="6916" max="6916" width="29.42578125" style="119" customWidth="1"/>
    <col min="6917" max="6918" width="10.28515625" style="119"/>
    <col min="6919" max="6919" width="21.42578125" style="119" customWidth="1"/>
    <col min="6920" max="6920" width="13.5703125" style="119" customWidth="1"/>
    <col min="6921" max="7171" width="10.28515625" style="119"/>
    <col min="7172" max="7172" width="29.42578125" style="119" customWidth="1"/>
    <col min="7173" max="7174" width="10.28515625" style="119"/>
    <col min="7175" max="7175" width="21.42578125" style="119" customWidth="1"/>
    <col min="7176" max="7176" width="13.5703125" style="119" customWidth="1"/>
    <col min="7177" max="7427" width="10.28515625" style="119"/>
    <col min="7428" max="7428" width="29.42578125" style="119" customWidth="1"/>
    <col min="7429" max="7430" width="10.28515625" style="119"/>
    <col min="7431" max="7431" width="21.42578125" style="119" customWidth="1"/>
    <col min="7432" max="7432" width="13.5703125" style="119" customWidth="1"/>
    <col min="7433" max="7683" width="10.28515625" style="119"/>
    <col min="7684" max="7684" width="29.42578125" style="119" customWidth="1"/>
    <col min="7685" max="7686" width="10.28515625" style="119"/>
    <col min="7687" max="7687" width="21.42578125" style="119" customWidth="1"/>
    <col min="7688" max="7688" width="13.5703125" style="119" customWidth="1"/>
    <col min="7689" max="7939" width="10.28515625" style="119"/>
    <col min="7940" max="7940" width="29.42578125" style="119" customWidth="1"/>
    <col min="7941" max="7942" width="10.28515625" style="119"/>
    <col min="7943" max="7943" width="21.42578125" style="119" customWidth="1"/>
    <col min="7944" max="7944" width="13.5703125" style="119" customWidth="1"/>
    <col min="7945" max="8195" width="10.28515625" style="119"/>
    <col min="8196" max="8196" width="29.42578125" style="119" customWidth="1"/>
    <col min="8197" max="8198" width="10.28515625" style="119"/>
    <col min="8199" max="8199" width="21.42578125" style="119" customWidth="1"/>
    <col min="8200" max="8200" width="13.5703125" style="119" customWidth="1"/>
    <col min="8201" max="8451" width="10.28515625" style="119"/>
    <col min="8452" max="8452" width="29.42578125" style="119" customWidth="1"/>
    <col min="8453" max="8454" width="10.28515625" style="119"/>
    <col min="8455" max="8455" width="21.42578125" style="119" customWidth="1"/>
    <col min="8456" max="8456" width="13.5703125" style="119" customWidth="1"/>
    <col min="8457" max="8707" width="10.28515625" style="119"/>
    <col min="8708" max="8708" width="29.42578125" style="119" customWidth="1"/>
    <col min="8709" max="8710" width="10.28515625" style="119"/>
    <col min="8711" max="8711" width="21.42578125" style="119" customWidth="1"/>
    <col min="8712" max="8712" width="13.5703125" style="119" customWidth="1"/>
    <col min="8713" max="8963" width="10.28515625" style="119"/>
    <col min="8964" max="8964" width="29.42578125" style="119" customWidth="1"/>
    <col min="8965" max="8966" width="10.28515625" style="119"/>
    <col min="8967" max="8967" width="21.42578125" style="119" customWidth="1"/>
    <col min="8968" max="8968" width="13.5703125" style="119" customWidth="1"/>
    <col min="8969" max="9219" width="10.28515625" style="119"/>
    <col min="9220" max="9220" width="29.42578125" style="119" customWidth="1"/>
    <col min="9221" max="9222" width="10.28515625" style="119"/>
    <col min="9223" max="9223" width="21.42578125" style="119" customWidth="1"/>
    <col min="9224" max="9224" width="13.5703125" style="119" customWidth="1"/>
    <col min="9225" max="9475" width="10.28515625" style="119"/>
    <col min="9476" max="9476" width="29.42578125" style="119" customWidth="1"/>
    <col min="9477" max="9478" width="10.28515625" style="119"/>
    <col min="9479" max="9479" width="21.42578125" style="119" customWidth="1"/>
    <col min="9480" max="9480" width="13.5703125" style="119" customWidth="1"/>
    <col min="9481" max="9731" width="10.28515625" style="119"/>
    <col min="9732" max="9732" width="29.42578125" style="119" customWidth="1"/>
    <col min="9733" max="9734" width="10.28515625" style="119"/>
    <col min="9735" max="9735" width="21.42578125" style="119" customWidth="1"/>
    <col min="9736" max="9736" width="13.5703125" style="119" customWidth="1"/>
    <col min="9737" max="9987" width="10.28515625" style="119"/>
    <col min="9988" max="9988" width="29.42578125" style="119" customWidth="1"/>
    <col min="9989" max="9990" width="10.28515625" style="119"/>
    <col min="9991" max="9991" width="21.42578125" style="119" customWidth="1"/>
    <col min="9992" max="9992" width="13.5703125" style="119" customWidth="1"/>
    <col min="9993" max="10243" width="10.28515625" style="119"/>
    <col min="10244" max="10244" width="29.42578125" style="119" customWidth="1"/>
    <col min="10245" max="10246" width="10.28515625" style="119"/>
    <col min="10247" max="10247" width="21.42578125" style="119" customWidth="1"/>
    <col min="10248" max="10248" width="13.5703125" style="119" customWidth="1"/>
    <col min="10249" max="10499" width="10.28515625" style="119"/>
    <col min="10500" max="10500" width="29.42578125" style="119" customWidth="1"/>
    <col min="10501" max="10502" width="10.28515625" style="119"/>
    <col min="10503" max="10503" width="21.42578125" style="119" customWidth="1"/>
    <col min="10504" max="10504" width="13.5703125" style="119" customWidth="1"/>
    <col min="10505" max="10755" width="10.28515625" style="119"/>
    <col min="10756" max="10756" width="29.42578125" style="119" customWidth="1"/>
    <col min="10757" max="10758" width="10.28515625" style="119"/>
    <col min="10759" max="10759" width="21.42578125" style="119" customWidth="1"/>
    <col min="10760" max="10760" width="13.5703125" style="119" customWidth="1"/>
    <col min="10761" max="11011" width="10.28515625" style="119"/>
    <col min="11012" max="11012" width="29.42578125" style="119" customWidth="1"/>
    <col min="11013" max="11014" width="10.28515625" style="119"/>
    <col min="11015" max="11015" width="21.42578125" style="119" customWidth="1"/>
    <col min="11016" max="11016" width="13.5703125" style="119" customWidth="1"/>
    <col min="11017" max="11267" width="10.28515625" style="119"/>
    <col min="11268" max="11268" width="29.42578125" style="119" customWidth="1"/>
    <col min="11269" max="11270" width="10.28515625" style="119"/>
    <col min="11271" max="11271" width="21.42578125" style="119" customWidth="1"/>
    <col min="11272" max="11272" width="13.5703125" style="119" customWidth="1"/>
    <col min="11273" max="11523" width="10.28515625" style="119"/>
    <col min="11524" max="11524" width="29.42578125" style="119" customWidth="1"/>
    <col min="11525" max="11526" width="10.28515625" style="119"/>
    <col min="11527" max="11527" width="21.42578125" style="119" customWidth="1"/>
    <col min="11528" max="11528" width="13.5703125" style="119" customWidth="1"/>
    <col min="11529" max="11779" width="10.28515625" style="119"/>
    <col min="11780" max="11780" width="29.42578125" style="119" customWidth="1"/>
    <col min="11781" max="11782" width="10.28515625" style="119"/>
    <col min="11783" max="11783" width="21.42578125" style="119" customWidth="1"/>
    <col min="11784" max="11784" width="13.5703125" style="119" customWidth="1"/>
    <col min="11785" max="12035" width="10.28515625" style="119"/>
    <col min="12036" max="12036" width="29.42578125" style="119" customWidth="1"/>
    <col min="12037" max="12038" width="10.28515625" style="119"/>
    <col min="12039" max="12039" width="21.42578125" style="119" customWidth="1"/>
    <col min="12040" max="12040" width="13.5703125" style="119" customWidth="1"/>
    <col min="12041" max="12291" width="10.28515625" style="119"/>
    <col min="12292" max="12292" width="29.42578125" style="119" customWidth="1"/>
    <col min="12293" max="12294" width="10.28515625" style="119"/>
    <col min="12295" max="12295" width="21.42578125" style="119" customWidth="1"/>
    <col min="12296" max="12296" width="13.5703125" style="119" customWidth="1"/>
    <col min="12297" max="12547" width="10.28515625" style="119"/>
    <col min="12548" max="12548" width="29.42578125" style="119" customWidth="1"/>
    <col min="12549" max="12550" width="10.28515625" style="119"/>
    <col min="12551" max="12551" width="21.42578125" style="119" customWidth="1"/>
    <col min="12552" max="12552" width="13.5703125" style="119" customWidth="1"/>
    <col min="12553" max="12803" width="10.28515625" style="119"/>
    <col min="12804" max="12804" width="29.42578125" style="119" customWidth="1"/>
    <col min="12805" max="12806" width="10.28515625" style="119"/>
    <col min="12807" max="12807" width="21.42578125" style="119" customWidth="1"/>
    <col min="12808" max="12808" width="13.5703125" style="119" customWidth="1"/>
    <col min="12809" max="13059" width="10.28515625" style="119"/>
    <col min="13060" max="13060" width="29.42578125" style="119" customWidth="1"/>
    <col min="13061" max="13062" width="10.28515625" style="119"/>
    <col min="13063" max="13063" width="21.42578125" style="119" customWidth="1"/>
    <col min="13064" max="13064" width="13.5703125" style="119" customWidth="1"/>
    <col min="13065" max="13315" width="10.28515625" style="119"/>
    <col min="13316" max="13316" width="29.42578125" style="119" customWidth="1"/>
    <col min="13317" max="13318" width="10.28515625" style="119"/>
    <col min="13319" max="13319" width="21.42578125" style="119" customWidth="1"/>
    <col min="13320" max="13320" width="13.5703125" style="119" customWidth="1"/>
    <col min="13321" max="13571" width="10.28515625" style="119"/>
    <col min="13572" max="13572" width="29.42578125" style="119" customWidth="1"/>
    <col min="13573" max="13574" width="10.28515625" style="119"/>
    <col min="13575" max="13575" width="21.42578125" style="119" customWidth="1"/>
    <col min="13576" max="13576" width="13.5703125" style="119" customWidth="1"/>
    <col min="13577" max="13827" width="10.28515625" style="119"/>
    <col min="13828" max="13828" width="29.42578125" style="119" customWidth="1"/>
    <col min="13829" max="13830" width="10.28515625" style="119"/>
    <col min="13831" max="13831" width="21.42578125" style="119" customWidth="1"/>
    <col min="13832" max="13832" width="13.5703125" style="119" customWidth="1"/>
    <col min="13833" max="14083" width="10.28515625" style="119"/>
    <col min="14084" max="14084" width="29.42578125" style="119" customWidth="1"/>
    <col min="14085" max="14086" width="10.28515625" style="119"/>
    <col min="14087" max="14087" width="21.42578125" style="119" customWidth="1"/>
    <col min="14088" max="14088" width="13.5703125" style="119" customWidth="1"/>
    <col min="14089" max="14339" width="10.28515625" style="119"/>
    <col min="14340" max="14340" width="29.42578125" style="119" customWidth="1"/>
    <col min="14341" max="14342" width="10.28515625" style="119"/>
    <col min="14343" max="14343" width="21.42578125" style="119" customWidth="1"/>
    <col min="14344" max="14344" width="13.5703125" style="119" customWidth="1"/>
    <col min="14345" max="14595" width="10.28515625" style="119"/>
    <col min="14596" max="14596" width="29.42578125" style="119" customWidth="1"/>
    <col min="14597" max="14598" width="10.28515625" style="119"/>
    <col min="14599" max="14599" width="21.42578125" style="119" customWidth="1"/>
    <col min="14600" max="14600" width="13.5703125" style="119" customWidth="1"/>
    <col min="14601" max="14851" width="10.28515625" style="119"/>
    <col min="14852" max="14852" width="29.42578125" style="119" customWidth="1"/>
    <col min="14853" max="14854" width="10.28515625" style="119"/>
    <col min="14855" max="14855" width="21.42578125" style="119" customWidth="1"/>
    <col min="14856" max="14856" width="13.5703125" style="119" customWidth="1"/>
    <col min="14857" max="15107" width="10.28515625" style="119"/>
    <col min="15108" max="15108" width="29.42578125" style="119" customWidth="1"/>
    <col min="15109" max="15110" width="10.28515625" style="119"/>
    <col min="15111" max="15111" width="21.42578125" style="119" customWidth="1"/>
    <col min="15112" max="15112" width="13.5703125" style="119" customWidth="1"/>
    <col min="15113" max="15363" width="10.28515625" style="119"/>
    <col min="15364" max="15364" width="29.42578125" style="119" customWidth="1"/>
    <col min="15365" max="15366" width="10.28515625" style="119"/>
    <col min="15367" max="15367" width="21.42578125" style="119" customWidth="1"/>
    <col min="15368" max="15368" width="13.5703125" style="119" customWidth="1"/>
    <col min="15369" max="15619" width="10.28515625" style="119"/>
    <col min="15620" max="15620" width="29.42578125" style="119" customWidth="1"/>
    <col min="15621" max="15622" width="10.28515625" style="119"/>
    <col min="15623" max="15623" width="21.42578125" style="119" customWidth="1"/>
    <col min="15624" max="15624" width="13.5703125" style="119" customWidth="1"/>
    <col min="15625" max="15875" width="10.28515625" style="119"/>
    <col min="15876" max="15876" width="29.42578125" style="119" customWidth="1"/>
    <col min="15877" max="15878" width="10.28515625" style="119"/>
    <col min="15879" max="15879" width="21.42578125" style="119" customWidth="1"/>
    <col min="15880" max="15880" width="13.5703125" style="119" customWidth="1"/>
    <col min="15881" max="16131" width="10.28515625" style="119"/>
    <col min="16132" max="16132" width="29.42578125" style="119" customWidth="1"/>
    <col min="16133" max="16134" width="10.28515625" style="119"/>
    <col min="16135" max="16135" width="21.42578125" style="119" customWidth="1"/>
    <col min="16136" max="16136" width="13.5703125" style="119" customWidth="1"/>
    <col min="16137" max="16384" width="10.28515625" style="119"/>
  </cols>
  <sheetData>
    <row r="1" spans="2:10" ht="24.75" customHeight="1">
      <c r="B1" s="121"/>
      <c r="C1" s="755" t="s">
        <v>530</v>
      </c>
      <c r="D1" s="593"/>
      <c r="E1" s="593"/>
      <c r="F1" s="593"/>
      <c r="G1" s="593"/>
      <c r="H1" s="593"/>
      <c r="I1" s="150"/>
      <c r="J1" s="118"/>
    </row>
    <row r="2" spans="2:10" ht="18" customHeight="1">
      <c r="B2" s="121"/>
      <c r="C2" s="594"/>
      <c r="D2" s="594"/>
      <c r="E2" s="594"/>
      <c r="F2" s="594"/>
      <c r="G2" s="594"/>
      <c r="H2" s="595"/>
      <c r="I2" s="150"/>
      <c r="J2" s="118"/>
    </row>
    <row r="3" spans="2:10">
      <c r="B3" s="121"/>
      <c r="C3" s="599"/>
      <c r="D3" s="601"/>
      <c r="E3" s="601"/>
      <c r="F3" s="601"/>
      <c r="G3" s="602"/>
      <c r="H3" s="122" t="s">
        <v>240</v>
      </c>
      <c r="I3" s="150"/>
      <c r="J3" s="118"/>
    </row>
    <row r="4" spans="2:10">
      <c r="B4" s="121"/>
      <c r="C4" s="600"/>
      <c r="D4" s="603"/>
      <c r="E4" s="603"/>
      <c r="F4" s="603"/>
      <c r="G4" s="604"/>
      <c r="H4" s="123" t="s">
        <v>241</v>
      </c>
      <c r="I4" s="150"/>
      <c r="J4" s="118"/>
    </row>
    <row r="5" spans="2:10">
      <c r="B5" s="121"/>
      <c r="C5" s="124" t="s">
        <v>171</v>
      </c>
      <c r="D5" s="124" t="s">
        <v>242</v>
      </c>
      <c r="E5" s="124" t="s">
        <v>82</v>
      </c>
      <c r="F5" s="125" t="s">
        <v>243</v>
      </c>
      <c r="G5" s="125" t="s">
        <v>244</v>
      </c>
      <c r="H5" s="126" t="s">
        <v>245</v>
      </c>
      <c r="I5" s="150"/>
      <c r="J5" s="118"/>
    </row>
    <row r="6" spans="2:10">
      <c r="B6" s="121"/>
      <c r="C6" s="127" t="str">
        <f>'CUSTOS SICRO - SINAPI - ORSE'!D59</f>
        <v>4328/ORSE</v>
      </c>
      <c r="D6" s="128" t="str">
        <f>'CUSTOS SICRO - SINAPI - ORSE'!A59</f>
        <v>Ensaios em solos - Limite de Liquidez</v>
      </c>
      <c r="E6" s="129" t="s">
        <v>82</v>
      </c>
      <c r="F6" s="130">
        <v>1</v>
      </c>
      <c r="G6" s="131">
        <f>'CUSTOS SICRO - SINAPI - ORSE'!F59</f>
        <v>150</v>
      </c>
      <c r="H6" s="131">
        <f>G6*F6</f>
        <v>150</v>
      </c>
      <c r="I6" s="151" t="s">
        <v>246</v>
      </c>
      <c r="J6" s="118"/>
    </row>
    <row r="7" spans="2:10">
      <c r="B7" s="121"/>
      <c r="C7" s="127" t="str">
        <f>'CUSTOS SICRO - SINAPI - ORSE'!D60</f>
        <v>4329/ORSE</v>
      </c>
      <c r="D7" s="128" t="str">
        <f>'CUSTOS SICRO - SINAPI - ORSE'!A60</f>
        <v>Ensaios em solos - Limite de Plasticidade</v>
      </c>
      <c r="E7" s="129" t="s">
        <v>82</v>
      </c>
      <c r="F7" s="130">
        <v>1</v>
      </c>
      <c r="G7" s="131">
        <f>'CUSTOS SICRO - SINAPI - ORSE'!F60</f>
        <v>150</v>
      </c>
      <c r="H7" s="131">
        <f>G7*F7</f>
        <v>150</v>
      </c>
      <c r="I7" s="151" t="s">
        <v>247</v>
      </c>
      <c r="J7" s="118"/>
    </row>
    <row r="8" spans="2:10">
      <c r="B8" s="121"/>
      <c r="C8" s="127" t="str">
        <f>'CUSTOS SICRO - SINAPI - ORSE'!D61</f>
        <v>4327/ORSE</v>
      </c>
      <c r="D8" s="128" t="str">
        <f>'CUSTOS SICRO - SINAPI - ORSE'!A61</f>
        <v>Granulometria por Peneiramento</v>
      </c>
      <c r="E8" s="129" t="s">
        <v>82</v>
      </c>
      <c r="F8" s="130">
        <v>1</v>
      </c>
      <c r="G8" s="131">
        <f>'CUSTOS SICRO - SINAPI - ORSE'!F61</f>
        <v>150</v>
      </c>
      <c r="H8" s="131">
        <f>G8*F8</f>
        <v>150</v>
      </c>
      <c r="I8" s="151"/>
      <c r="J8" s="118"/>
    </row>
    <row r="9" spans="2:10">
      <c r="B9" s="121"/>
      <c r="C9" s="127" t="str">
        <f>'CUSTOS SICRO - SINAPI - ORSE'!D62</f>
        <v>4331/ORSE</v>
      </c>
      <c r="D9" s="128" t="str">
        <f>'CUSTOS SICRO - SINAPI - ORSE'!A62</f>
        <v>Ensaio - Compactação Proctor Intermediário com reuso de material (6 pontos)</v>
      </c>
      <c r="E9" s="129" t="s">
        <v>82</v>
      </c>
      <c r="F9" s="130">
        <v>1</v>
      </c>
      <c r="G9" s="131">
        <f>'CUSTOS SICRO - SINAPI - ORSE'!F62</f>
        <v>202</v>
      </c>
      <c r="H9" s="131">
        <f>G9*F9</f>
        <v>202</v>
      </c>
      <c r="I9" s="151"/>
      <c r="J9" s="118"/>
    </row>
    <row r="10" spans="2:10">
      <c r="B10" s="121"/>
      <c r="C10" s="127" t="str">
        <f>'CUSTOS SICRO - SINAPI - ORSE'!D63</f>
        <v>6720/ORSE</v>
      </c>
      <c r="D10" s="128" t="str">
        <f>'CUSTOS SICRO - SINAPI - ORSE'!A63</f>
        <v>Ensaio em solos - Índice de Suporte Califórnia - CBR</v>
      </c>
      <c r="E10" s="129" t="s">
        <v>82</v>
      </c>
      <c r="F10" s="130">
        <v>1</v>
      </c>
      <c r="G10" s="131">
        <f>'CUSTOS SICRO - SINAPI - ORSE'!F63</f>
        <v>259</v>
      </c>
      <c r="H10" s="131">
        <f>G10*F10</f>
        <v>259</v>
      </c>
      <c r="I10" s="151"/>
      <c r="J10" s="118"/>
    </row>
    <row r="11" spans="2:10">
      <c r="B11" s="121"/>
      <c r="C11" s="596" t="s">
        <v>248</v>
      </c>
      <c r="D11" s="596"/>
      <c r="E11" s="596"/>
      <c r="F11" s="596"/>
      <c r="G11" s="596"/>
      <c r="H11" s="132">
        <f>SUM(H6:H10)</f>
        <v>911</v>
      </c>
      <c r="I11" s="150"/>
      <c r="J11" s="118"/>
    </row>
    <row r="12" spans="2:10" s="105" customFormat="1" ht="15">
      <c r="B12" s="133"/>
      <c r="C12" s="134"/>
      <c r="D12" s="134"/>
      <c r="E12" s="134"/>
      <c r="F12" s="134"/>
      <c r="G12" s="134"/>
      <c r="H12" s="135"/>
      <c r="I12" s="150"/>
      <c r="J12" s="118"/>
    </row>
    <row r="13" spans="2:10" s="105" customFormat="1" ht="15">
      <c r="B13" s="133"/>
      <c r="C13" s="134"/>
      <c r="D13" s="134"/>
      <c r="E13" s="134"/>
      <c r="F13" s="134"/>
      <c r="G13" s="134"/>
      <c r="H13" s="136" t="s">
        <v>240</v>
      </c>
      <c r="I13" s="150"/>
      <c r="J13" s="118"/>
    </row>
    <row r="14" spans="2:10" s="105" customFormat="1" ht="15">
      <c r="B14" s="133"/>
      <c r="C14" s="134"/>
      <c r="D14" s="134"/>
      <c r="E14" s="134"/>
      <c r="F14" s="134"/>
      <c r="G14" s="134"/>
      <c r="H14" s="137" t="s">
        <v>249</v>
      </c>
      <c r="I14" s="150"/>
      <c r="J14" s="118"/>
    </row>
    <row r="15" spans="2:10" s="105" customFormat="1" ht="15">
      <c r="B15" s="133"/>
      <c r="C15" s="138" t="s">
        <v>171</v>
      </c>
      <c r="D15" s="138" t="s">
        <v>242</v>
      </c>
      <c r="E15" s="138" t="s">
        <v>82</v>
      </c>
      <c r="F15" s="126" t="s">
        <v>243</v>
      </c>
      <c r="G15" s="139" t="s">
        <v>244</v>
      </c>
      <c r="H15" s="126" t="s">
        <v>245</v>
      </c>
      <c r="I15" s="150"/>
      <c r="J15" s="118"/>
    </row>
    <row r="16" spans="2:10" s="105" customFormat="1" ht="15">
      <c r="B16" s="133"/>
      <c r="C16" s="140" t="str">
        <f>'CUSTOS SICRO - SINAPI - ORSE'!D36</f>
        <v>P9858</v>
      </c>
      <c r="D16" s="141" t="str">
        <f>'CUSTOS SICRO - SINAPI - ORSE'!A36</f>
        <v>Laboratorista</v>
      </c>
      <c r="E16" s="142" t="str">
        <f>'CUSTOS SICRO - SINAPI - ORSE'!E36</f>
        <v>MÊS</v>
      </c>
      <c r="F16" s="143">
        <f t="shared" ref="F16:F17" si="0">0.15/14000</f>
        <v>1.0714285714285714E-5</v>
      </c>
      <c r="G16" s="144">
        <f>'CUSTOS SICRO - SINAPI - ORSE'!F36</f>
        <v>7132.3013000000001</v>
      </c>
      <c r="H16" s="145">
        <f>G16*F16</f>
        <v>7.6417513928571434E-2</v>
      </c>
      <c r="I16" s="152" t="s">
        <v>251</v>
      </c>
      <c r="J16" s="118"/>
    </row>
    <row r="17" spans="2:10" s="105" customFormat="1" ht="15">
      <c r="B17" s="133"/>
      <c r="C17" s="140" t="str">
        <f>'CUSTOS SICRO - SINAPI - ORSE'!D37</f>
        <v>P9833</v>
      </c>
      <c r="D17" s="141" t="str">
        <f>'CUSTOS SICRO - SINAPI - ORSE'!A37</f>
        <v>Auxiliar de Laboratório</v>
      </c>
      <c r="E17" s="142" t="str">
        <f>'CUSTOS SICRO - SINAPI - ORSE'!E37</f>
        <v>MÊS</v>
      </c>
      <c r="F17" s="143">
        <f t="shared" si="0"/>
        <v>1.0714285714285714E-5</v>
      </c>
      <c r="G17" s="144">
        <f>'CUSTOS SICRO - SINAPI - ORSE'!F37</f>
        <v>5569.3198000000002</v>
      </c>
      <c r="H17" s="145">
        <f>G17*F17</f>
        <v>5.967128357142857E-2</v>
      </c>
      <c r="I17" s="150" t="s">
        <v>253</v>
      </c>
      <c r="J17" s="118"/>
    </row>
    <row r="18" spans="2:10" s="105" customFormat="1" ht="15">
      <c r="B18" s="133"/>
      <c r="C18" s="140" t="str">
        <f>'CUSTOS SICRO - SINAPI - ORSE'!D38</f>
        <v>*B8957</v>
      </c>
      <c r="D18" s="141" t="s">
        <v>254</v>
      </c>
      <c r="E18" s="142" t="str">
        <f>'CUSTOS SICRO - SINAPI - ORSE'!E38</f>
        <v>MÊS</v>
      </c>
      <c r="F18" s="143">
        <f>0.15/14000</f>
        <v>1.0714285714285714E-5</v>
      </c>
      <c r="G18" s="144">
        <f>'CUSTOS SICRO - SINAPI - ORSE'!F38</f>
        <v>4235.59</v>
      </c>
      <c r="H18" s="145">
        <f>G18*F18</f>
        <v>4.5381321428571431E-2</v>
      </c>
      <c r="I18" s="150"/>
      <c r="J18" s="118"/>
    </row>
    <row r="19" spans="2:10" s="105" customFormat="1" ht="15">
      <c r="B19" s="133"/>
      <c r="C19" s="597" t="s">
        <v>255</v>
      </c>
      <c r="D19" s="597"/>
      <c r="E19" s="597"/>
      <c r="F19" s="597"/>
      <c r="G19" s="597"/>
      <c r="H19" s="146">
        <f>ROUND(SUM(H16:H18),4)</f>
        <v>0.18149999999999999</v>
      </c>
      <c r="I19" s="150"/>
      <c r="J19" s="118"/>
    </row>
    <row r="20" spans="2:10" s="105" customFormat="1" ht="15">
      <c r="B20" s="133"/>
      <c r="C20" s="114" t="s">
        <v>256</v>
      </c>
      <c r="D20" s="147"/>
      <c r="E20" s="148"/>
      <c r="F20" s="148"/>
      <c r="G20" s="148"/>
      <c r="H20" s="148"/>
      <c r="I20" s="150"/>
      <c r="J20" s="118"/>
    </row>
    <row r="21" spans="2:10" s="105" customFormat="1" ht="15">
      <c r="B21" s="133"/>
      <c r="C21" s="598"/>
      <c r="D21" s="598"/>
      <c r="E21" s="148"/>
      <c r="F21" s="148"/>
      <c r="G21" s="148"/>
      <c r="H21" s="148"/>
      <c r="I21" s="150"/>
      <c r="J21" s="118"/>
    </row>
    <row r="22" spans="2:10" s="105" customFormat="1" ht="15">
      <c r="C22" s="149"/>
      <c r="D22" s="149"/>
      <c r="E22" s="149"/>
      <c r="F22" s="149"/>
      <c r="G22" s="149"/>
      <c r="H22" s="135"/>
      <c r="I22" s="153"/>
      <c r="J22" s="118"/>
    </row>
    <row r="23" spans="2:10" s="105" customFormat="1" ht="15">
      <c r="C23" s="149"/>
      <c r="D23" s="149"/>
      <c r="E23" s="149"/>
      <c r="F23" s="149"/>
      <c r="G23" s="149"/>
      <c r="H23" s="135"/>
      <c r="I23" s="153"/>
      <c r="J23" s="118"/>
    </row>
    <row r="24" spans="2:10" s="105" customFormat="1" ht="15">
      <c r="C24" s="149"/>
      <c r="D24" s="149"/>
      <c r="E24" s="149"/>
      <c r="F24" s="149"/>
      <c r="G24" s="149"/>
      <c r="H24" s="135"/>
      <c r="I24" s="153"/>
      <c r="J24" s="118"/>
    </row>
    <row r="25" spans="2:10" s="105" customFormat="1" ht="15">
      <c r="C25" s="149"/>
      <c r="D25" s="149"/>
      <c r="E25" s="149"/>
      <c r="F25" s="149"/>
      <c r="G25" s="149"/>
      <c r="H25" s="135"/>
      <c r="I25" s="153"/>
      <c r="J25" s="118"/>
    </row>
    <row r="26" spans="2:10" s="105" customFormat="1" ht="15">
      <c r="C26" s="149"/>
      <c r="D26" s="149"/>
      <c r="E26" s="149"/>
      <c r="F26" s="149"/>
      <c r="G26" s="149"/>
      <c r="H26" s="135"/>
      <c r="I26" s="153"/>
      <c r="J26" s="118"/>
    </row>
    <row r="27" spans="2:10" s="105" customFormat="1" ht="15">
      <c r="C27" s="149"/>
      <c r="D27" s="149"/>
      <c r="E27" s="149"/>
      <c r="F27" s="149"/>
      <c r="G27" s="149"/>
      <c r="H27" s="135"/>
      <c r="I27" s="153"/>
      <c r="J27" s="118"/>
    </row>
    <row r="28" spans="2:10" s="105" customFormat="1" ht="15">
      <c r="C28" s="149"/>
      <c r="D28" s="149"/>
      <c r="E28" s="149"/>
      <c r="F28" s="149"/>
      <c r="G28" s="149"/>
      <c r="H28" s="135"/>
      <c r="I28" s="153"/>
      <c r="J28" s="118"/>
    </row>
    <row r="29" spans="2:10" s="105" customFormat="1" ht="15">
      <c r="C29" s="149"/>
      <c r="D29" s="149"/>
      <c r="E29" s="149"/>
      <c r="F29" s="149"/>
      <c r="G29" s="149"/>
      <c r="H29" s="135"/>
      <c r="I29" s="153"/>
      <c r="J29" s="118"/>
    </row>
    <row r="30" spans="2:10" s="105" customFormat="1" ht="15">
      <c r="C30" s="149"/>
      <c r="D30" s="149"/>
      <c r="E30" s="149"/>
      <c r="F30" s="149"/>
      <c r="G30" s="149"/>
      <c r="H30" s="135"/>
      <c r="I30" s="153"/>
      <c r="J30" s="118"/>
    </row>
    <row r="31" spans="2:10" s="118" customFormat="1">
      <c r="I31" s="153"/>
    </row>
  </sheetData>
  <mergeCells count="7">
    <mergeCell ref="C1:H1"/>
    <mergeCell ref="C2:H2"/>
    <mergeCell ref="C11:G11"/>
    <mergeCell ref="C19:G19"/>
    <mergeCell ref="C21:D21"/>
    <mergeCell ref="C3:C4"/>
    <mergeCell ref="D3:G4"/>
  </mergeCells>
  <pageMargins left="0.511811023622047" right="0.511811023622047" top="0.78740157480314998" bottom="0.78740157480314998" header="0.31496062992126" footer="0.31496062992126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12</vt:i4>
      </vt:variant>
    </vt:vector>
  </HeadingPairs>
  <TitlesOfParts>
    <vt:vector size="25" baseType="lpstr">
      <vt:lpstr>RESUMO</vt:lpstr>
      <vt:lpstr>PLANILHA GLOBAL</vt:lpstr>
      <vt:lpstr>MÓDULO MÍNIMO</vt:lpstr>
      <vt:lpstr>CRONO FISICO-FINANCEIRO</vt:lpstr>
      <vt:lpstr>MEMÓRIA DE CÁLCULOS</vt:lpstr>
      <vt:lpstr>COMPOSIÇÃO PROJETO EXECUTIVO</vt:lpstr>
      <vt:lpstr>COMPOSIÇÕES SICRO</vt:lpstr>
      <vt:lpstr>COMPOSIÇÕES SINAPI</vt:lpstr>
      <vt:lpstr>COMPOSIÇÕES ENSAIOS</vt:lpstr>
      <vt:lpstr>CUSTOS SICRO - SINAPI - ORSE</vt:lpstr>
      <vt:lpstr>Mobilização</vt:lpstr>
      <vt:lpstr>DET. ENCARGOS</vt:lpstr>
      <vt:lpstr>BDI</vt:lpstr>
      <vt:lpstr>BDI!Area_de_impressao</vt:lpstr>
      <vt:lpstr>'COMPOSIÇÃO PROJETO EXECUTIVO'!Area_de_impressao</vt:lpstr>
      <vt:lpstr>'COMPOSIÇÕES ENSAIOS'!Area_de_impressao</vt:lpstr>
      <vt:lpstr>'COMPOSIÇÕES SINAPI'!Area_de_impressao</vt:lpstr>
      <vt:lpstr>'CRONO FISICO-FINANCEIRO'!Area_de_impressao</vt:lpstr>
      <vt:lpstr>'CUSTOS SICRO - SINAPI - ORSE'!Area_de_impressao</vt:lpstr>
      <vt:lpstr>'DET. ENCARGOS'!Area_de_impressao</vt:lpstr>
      <vt:lpstr>'MEMÓRIA DE CÁLCULOS'!Area_de_impressao</vt:lpstr>
      <vt:lpstr>Mobilização!Area_de_impressao</vt:lpstr>
      <vt:lpstr>'MÓDULO MÍNIMO'!Area_de_impressao</vt:lpstr>
      <vt:lpstr>'PLANILHA GLOBAL'!Area_de_impressao</vt:lpstr>
      <vt:lpstr>'CUSTOS SICRO - SINAPI - ORSE'!Titulos_de_impressao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 Nicolau de Souza Neto</dc:creator>
  <cp:lastModifiedBy>Manoel Nicolau de Souza Neto</cp:lastModifiedBy>
  <cp:revision>91</cp:revision>
  <cp:lastPrinted>2023-12-04T20:09:56Z</cp:lastPrinted>
  <dcterms:created xsi:type="dcterms:W3CDTF">2018-08-22T11:07:00Z</dcterms:created>
  <dcterms:modified xsi:type="dcterms:W3CDTF">2023-12-04T20:10:21Z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9F205C763FCF4A17A3EACA9BFA62A8BD_12</vt:lpwstr>
  </property>
  <property fmtid="{D5CDD505-2E9C-101B-9397-08002B2CF9AE}" pid="9" name="KSOProductBuildVer">
    <vt:lpwstr>1033-12.2.0.13266</vt:lpwstr>
  </property>
</Properties>
</file>