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- ANO 2023\Minutas de Edital - 2023\MInuta Edital - Pavimentação TSD - 2023 - 6ª SR\ANEXO I - TERMO DE REFERÊNCIA E ANEXOS\"/>
    </mc:Choice>
  </mc:AlternateContent>
  <xr:revisionPtr revIDLastSave="0" documentId="8_{7E608A0C-6B5C-4B39-99B6-C05774CFAFAE}" xr6:coauthVersionLast="47" xr6:coauthVersionMax="47" xr10:uidLastSave="{00000000-0000-0000-0000-000000000000}"/>
  <bookViews>
    <workbookView xWindow="3465" yWindow="3465" windowWidth="21600" windowHeight="11385" tabRatio="698" xr2:uid="{00000000-000D-0000-FFFF-FFFF00000000}"/>
  </bookViews>
  <sheets>
    <sheet name="RESUMO" sheetId="32" r:id="rId1"/>
    <sheet name="Orçamento Sintético" sheetId="26" r:id="rId2"/>
    <sheet name="MC " sheetId="16" r:id="rId3"/>
    <sheet name="CFF" sheetId="27" r:id="rId4"/>
    <sheet name="CPUs" sheetId="24" r:id="rId5"/>
    <sheet name="Mob. e Desmob." sheetId="17" r:id="rId6"/>
    <sheet name="Mat. Betuminoso" sheetId="18" r:id="rId7"/>
    <sheet name="Projeto Executivo" sheetId="34" r:id="rId8"/>
    <sheet name="CPU ENSAIOS" sheetId="35" r:id="rId9"/>
    <sheet name="CURVA ABC" sheetId="3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4" hidden="1">CPUs!$A$5:$J$911</definedName>
    <definedName name="_xlnm._FilterDatabase" localSheetId="9" hidden="1">'CURVA ABC'!$B$5:$J$15</definedName>
    <definedName name="_Order1" hidden="1">255</definedName>
    <definedName name="_PL1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>[0]!AA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3">CFF!$A$1:$O$24</definedName>
    <definedName name="_xlnm.Print_Area" localSheetId="4">CPUs!$A$1:$J$911</definedName>
    <definedName name="_xlnm.Print_Area" localSheetId="9">'CURVA ABC'!$B$1:$J$15</definedName>
    <definedName name="_xlnm.Print_Area" localSheetId="6">'Mat. Betuminoso'!$A$1:$G$43</definedName>
    <definedName name="_xlnm.Print_Area" localSheetId="2">'MC '!$B$1:$D$136</definedName>
    <definedName name="_xlnm.Print_Area" localSheetId="5">'Mob. e Desmob.'!$A$1:$N$29</definedName>
    <definedName name="_xlnm.Print_Area" localSheetId="1">'Orçamento Sintético'!$B$1:$J$49</definedName>
    <definedName name="_xlnm.Print_Area" localSheetId="7">'Projeto Executivo'!$A$1:$H$26</definedName>
    <definedName name="_xlnm.Print_Area" localSheetId="0">RESUMO!$A$1:$G$11</definedName>
    <definedName name="Área_impressão_IM">#REF!</definedName>
    <definedName name="AREIA">#REF!</definedName>
    <definedName name="ARMAÇÃO_CONCRETO">#REF!</definedName>
    <definedName name="ARMADOR">#REF!</definedName>
    <definedName name="ARMARIO_90X60X17_CM">#REF!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>#REF!</definedName>
    <definedName name="descont">#REF!</definedName>
    <definedName name="DESFORMA">#REF!</definedName>
    <definedName name="DGA">'[2]PRO-08'!#REF!</definedName>
    <definedName name="DIFQT">[1]SERVIÇO!#REF!</definedName>
    <definedName name="DJ">#REF!</definedName>
    <definedName name="DNIT_aprovação">[4]Auxiliar!$K$2:$K$5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[1]SERVIÇO!#REF!</definedName>
    <definedName name="ESCORA">[3]Insumos!$I$72</definedName>
    <definedName name="EXA">'[2]PRO-08'!#REF!</definedName>
    <definedName name="Excel_BuiltIn_Print_Titles_2_1">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>[0]!Extenso</definedName>
    <definedName name="fc1a">'[2]PRO-08'!#REF!</definedName>
    <definedName name="FC2A">'[2]PRO-08'!#REF!</definedName>
    <definedName name="FC3A">'[2]PRO-08'!#REF!</definedName>
    <definedName name="FCRITER">[1]SERVIÇO!#REF!</definedName>
    <definedName name="fda">{"total","SUM(total)","YNNNN",FALSE}</definedName>
    <definedName name="FGV_alteração">[4]Auxiliar!$J$2:$J$4</definedName>
    <definedName name="FORMA_MAD_BRANCA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romatação_Amarelo_semCusto">INDIRECT("'Analítico CCUs'!$P$2:$V$"&amp;'[5]Analítico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'[6]RELAÇÃO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>{"total","SUM(total)","YNNNN",FALSE}</definedName>
    <definedName name="MASSA_OLEO">#REF!</definedName>
    <definedName name="MASSA_PVA">[3]Insumos!$I$363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>{"total","SUM(total)","YNNNN",FALSE}</definedName>
    <definedName name="MOD">{"total","SUM(total)","YNNNN",FALSE}</definedName>
    <definedName name="MODIFICAÇÃO">{"total","SUM(total)","YNNNN",FALSE}</definedName>
    <definedName name="módulo1.Extenso">[0]!módulo1.Extenso</definedName>
    <definedName name="MUNICIPIO">[1]SERVIÇO!#REF!</definedName>
    <definedName name="MURBOMB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>#REF!</definedName>
    <definedName name="PEMD">[1]SERVIÇO!#REF!</definedName>
    <definedName name="PERNAMANCA">[3]Insumos!$I$71</definedName>
    <definedName name="PERNAMANCA_MAD_LEI">#REF!</definedName>
    <definedName name="pesquisa">#REF!</definedName>
    <definedName name="PIEQUIP">[1]SERVIÇO!#REF!</definedName>
    <definedName name="PINTOR">#REF!</definedName>
    <definedName name="PL">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>[0]!QQ_2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[7]Teor!$C$3:$C$7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>#REF!</definedName>
    <definedName name="REJUNTE">#REF!</definedName>
    <definedName name="RESUMO">[0]!RESUMO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>#REF!</definedName>
    <definedName name="RIPÃO_COMUM">[3]Insumos!$I$61</definedName>
    <definedName name="RIPÃO_MAD_LEI">#REF!</definedName>
    <definedName name="RMA">'[2]PRO-08'!#REF!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[8]materiais!#REF!</definedName>
    <definedName name="SET">[9]Comp!$E$361:$E$428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[7]Teor!$A$3:$A$7</definedName>
    <definedName name="Terraplenagem">[0]!Terraplenagem</definedName>
    <definedName name="TIJOLO_10X20X20">[3]Insumos!$I$28</definedName>
    <definedName name="TIJOLO_6_FUROS">[3]Insumos!$I$28</definedName>
    <definedName name="TINTA_ACRILICA">#REF!</definedName>
    <definedName name="TINTA_ESMALTE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_xlnm.Print_Titles" localSheetId="4">CPUs!$1:$4</definedName>
    <definedName name="_xlnm.Print_Titles" localSheetId="9">'CURVA ABC'!$1:$5</definedName>
    <definedName name="_xlnm.Print_Titles" localSheetId="2">'MC '!$1:$3</definedName>
    <definedName name="_xlnm.Print_Titles" localSheetId="1">'Orçamento Sintético'!$1:$5</definedName>
    <definedName name="TOTAL_ADMINISTRATIVO">#REF!</definedName>
    <definedName name="TOTAL_AULA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>{"total","SUM(total)","YNNNN",FALSE}</definedName>
    <definedName name="Vazios">[7]Teor!$B$3:$B$7</definedName>
    <definedName name="VEDA_ROSCA">#REF!</definedName>
    <definedName name="verde">#REF!</definedName>
    <definedName name="verdepav">#REF!</definedName>
    <definedName name="VERNIZ_POLIURETANO">#REF!</definedName>
    <definedName name="WEWRWR">[0]!WEWRWR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">[7]Equipamentos!#REF!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>[0]!XXX</definedName>
    <definedName name="ZARCAO">#REF!</definedName>
    <definedName name="ZECA">[1]SERVIÇO!#REF!</definedName>
  </definedNames>
  <calcPr calcId="181029"/>
</workbook>
</file>

<file path=xl/calcChain.xml><?xml version="1.0" encoding="utf-8"?>
<calcChain xmlns="http://schemas.openxmlformats.org/spreadsheetml/2006/main">
  <c r="J26" i="26" l="1"/>
  <c r="J8" i="39" s="1"/>
  <c r="M2" i="27"/>
  <c r="M1" i="27"/>
  <c r="L2" i="27"/>
  <c r="L1" i="27"/>
  <c r="H2" i="39"/>
  <c r="I2" i="39"/>
  <c r="I1" i="39"/>
  <c r="H1" i="39"/>
  <c r="F2" i="39"/>
  <c r="J7" i="39"/>
  <c r="J15" i="39"/>
  <c r="J12" i="39"/>
  <c r="J11" i="39"/>
  <c r="J10" i="39"/>
  <c r="J9" i="39"/>
  <c r="D130" i="16"/>
  <c r="D80" i="16"/>
  <c r="D124" i="16"/>
  <c r="X9" i="26"/>
  <c r="X14" i="26"/>
  <c r="X21" i="26"/>
  <c r="X22" i="26"/>
  <c r="X28" i="26"/>
  <c r="X33" i="26"/>
  <c r="X39" i="26"/>
  <c r="X42" i="26"/>
  <c r="X46" i="26"/>
  <c r="J416" i="24"/>
  <c r="F439" i="24" s="1"/>
  <c r="J439" i="24" s="1"/>
  <c r="J735" i="24"/>
  <c r="F763" i="24" s="1"/>
  <c r="J763" i="24" s="1"/>
  <c r="J411" i="24"/>
  <c r="J389" i="24" s="1"/>
  <c r="I389" i="24" s="1"/>
  <c r="J383" i="24"/>
  <c r="J384" i="24" s="1"/>
  <c r="J367" i="24" s="1"/>
  <c r="F386" i="24" s="1"/>
  <c r="J386" i="24" s="1"/>
  <c r="I239" i="24"/>
  <c r="J239" i="24" s="1"/>
  <c r="J238" i="24" s="1"/>
  <c r="I233" i="24"/>
  <c r="J233" i="24" s="1"/>
  <c r="J232" i="24" s="1"/>
  <c r="H2" i="24"/>
  <c r="H1" i="24"/>
  <c r="G2" i="24"/>
  <c r="G1" i="24"/>
  <c r="I30" i="26"/>
  <c r="I29" i="26"/>
  <c r="I32" i="26"/>
  <c r="I31" i="26"/>
  <c r="I49" i="26"/>
  <c r="I48" i="26"/>
  <c r="I47" i="26"/>
  <c r="I45" i="26"/>
  <c r="I44" i="26"/>
  <c r="I43" i="26"/>
  <c r="I41" i="26"/>
  <c r="I40" i="26"/>
  <c r="I38" i="26"/>
  <c r="I37" i="26"/>
  <c r="I36" i="26"/>
  <c r="I35" i="26"/>
  <c r="I34" i="26"/>
  <c r="I27" i="26"/>
  <c r="I26" i="26"/>
  <c r="I25" i="26"/>
  <c r="I24" i="26"/>
  <c r="I23" i="26"/>
  <c r="I20" i="26"/>
  <c r="I19" i="26"/>
  <c r="I18" i="26"/>
  <c r="I17" i="26"/>
  <c r="I16" i="26"/>
  <c r="I15" i="26"/>
  <c r="I13" i="26"/>
  <c r="I11" i="26"/>
  <c r="I10" i="26"/>
  <c r="E25" i="17"/>
  <c r="E2" i="24"/>
  <c r="J2" i="27"/>
  <c r="D118" i="16"/>
  <c r="D121" i="16"/>
  <c r="D136" i="16"/>
  <c r="F7" i="16"/>
  <c r="H31" i="24"/>
  <c r="G7" i="16"/>
  <c r="A4" i="35"/>
  <c r="K6" i="39"/>
  <c r="I416" i="24" l="1"/>
  <c r="I735" i="24"/>
  <c r="F413" i="24"/>
  <c r="J413" i="24" s="1"/>
  <c r="F235" i="24"/>
  <c r="J235" i="24" s="1"/>
  <c r="F241" i="24"/>
  <c r="J241" i="24" s="1"/>
  <c r="D70" i="16"/>
  <c r="D85" i="16"/>
  <c r="G2" i="35" l="1"/>
  <c r="B89" i="16"/>
  <c r="H23" i="17" l="1"/>
  <c r="H21" i="17"/>
  <c r="H33" i="24"/>
  <c r="J33" i="24" s="1"/>
  <c r="H32" i="24"/>
  <c r="J32" i="24" s="1"/>
  <c r="J31" i="24"/>
  <c r="D6" i="24"/>
  <c r="B6" i="24"/>
  <c r="D133" i="16"/>
  <c r="B131" i="16"/>
  <c r="B107" i="16"/>
  <c r="B88" i="16"/>
  <c r="B91" i="16" s="1"/>
  <c r="D114" i="16"/>
  <c r="B110" i="16"/>
  <c r="B66" i="16"/>
  <c r="B57" i="16"/>
  <c r="B61" i="16"/>
  <c r="B65" i="16" s="1"/>
  <c r="B46" i="16"/>
  <c r="J30" i="24" l="1"/>
  <c r="F35" i="24" s="1"/>
  <c r="J35" i="24" s="1"/>
  <c r="D95" i="16"/>
  <c r="D75" i="16"/>
  <c r="F15" i="18"/>
  <c r="F14" i="18"/>
  <c r="D109" i="16"/>
  <c r="B56" i="16"/>
  <c r="H12" i="26" l="1"/>
  <c r="I12" i="26" s="1"/>
  <c r="X12" i="26" s="1"/>
  <c r="B25" i="16"/>
  <c r="B43" i="16"/>
  <c r="B26" i="16"/>
  <c r="B6" i="16" l="1"/>
  <c r="D125" i="16" l="1"/>
  <c r="F6" i="16"/>
  <c r="D7" i="16"/>
  <c r="E20" i="34"/>
  <c r="B9" i="35"/>
  <c r="B8" i="35"/>
  <c r="H18" i="34"/>
  <c r="H17" i="34"/>
  <c r="H13" i="34"/>
  <c r="F12" i="34"/>
  <c r="H12" i="34" s="1"/>
  <c r="F11" i="34"/>
  <c r="H11" i="34" s="1"/>
  <c r="H9" i="34"/>
  <c r="H8" i="34"/>
  <c r="N2" i="27"/>
  <c r="I2" i="24" s="1"/>
  <c r="C2" i="27"/>
  <c r="C2" i="24" s="1"/>
  <c r="A5" i="17" s="1"/>
  <c r="A5" i="18" s="1"/>
  <c r="G13" i="35" l="1"/>
  <c r="H13" i="35" s="1"/>
  <c r="G12" i="35"/>
  <c r="F13" i="35"/>
  <c r="F15" i="35"/>
  <c r="H15" i="35" s="1"/>
  <c r="F14" i="35"/>
  <c r="H14" i="35" s="1"/>
  <c r="F12" i="35"/>
  <c r="D7" i="32"/>
  <c r="F10" i="16"/>
  <c r="H7" i="34"/>
  <c r="D45" i="16"/>
  <c r="D74" i="16"/>
  <c r="D29" i="16"/>
  <c r="D42" i="16"/>
  <c r="D48" i="16"/>
  <c r="D58" i="16" s="1"/>
  <c r="D88" i="16"/>
  <c r="D22" i="16"/>
  <c r="D25" i="16" s="1"/>
  <c r="D8" i="16"/>
  <c r="D6" i="16" s="1"/>
  <c r="H10" i="34"/>
  <c r="H6" i="34" s="1"/>
  <c r="G16" i="34" s="1"/>
  <c r="H16" i="34" s="1"/>
  <c r="H15" i="34" s="1"/>
  <c r="Q11" i="27"/>
  <c r="B19" i="27"/>
  <c r="B17" i="27"/>
  <c r="B15" i="27"/>
  <c r="Q19" i="27"/>
  <c r="B11" i="27"/>
  <c r="Q27" i="27"/>
  <c r="Q17" i="27"/>
  <c r="Q15" i="27"/>
  <c r="Q13" i="27"/>
  <c r="B13" i="27"/>
  <c r="Q9" i="27"/>
  <c r="B9" i="27"/>
  <c r="Q7" i="27"/>
  <c r="B7" i="27"/>
  <c r="B5" i="27"/>
  <c r="H12" i="35" l="1"/>
  <c r="H16" i="35" s="1"/>
  <c r="D52" i="16"/>
  <c r="D57" i="16"/>
  <c r="D91" i="16"/>
  <c r="D66" i="16"/>
  <c r="D62" i="16"/>
  <c r="D53" i="16"/>
  <c r="B122" i="16"/>
  <c r="B119" i="16"/>
  <c r="B116" i="16"/>
  <c r="H18" i="35" l="1"/>
  <c r="G20" i="34" s="1"/>
  <c r="H20" i="34" s="1"/>
  <c r="H19" i="34" s="1"/>
  <c r="H21" i="34" s="1"/>
  <c r="J122" i="16"/>
  <c r="J121" i="16"/>
  <c r="J120" i="16"/>
  <c r="J119" i="16"/>
  <c r="J118" i="16"/>
  <c r="J117" i="16"/>
  <c r="J116" i="16"/>
  <c r="G22" i="34" l="1"/>
  <c r="H22" i="34" s="1"/>
  <c r="D11" i="16"/>
  <c r="D15" i="16" s="1"/>
  <c r="D18" i="16" s="1"/>
  <c r="H30" i="26"/>
  <c r="H29" i="26"/>
  <c r="H24" i="34" l="1"/>
  <c r="H26" i="34" s="1"/>
  <c r="D21" i="16"/>
  <c r="D27" i="16" s="1"/>
  <c r="D37" i="16" s="1"/>
  <c r="I7" i="24" l="1"/>
  <c r="J7" i="24" s="1"/>
  <c r="J6" i="24" s="1"/>
  <c r="H8" i="26"/>
  <c r="I8" i="26" s="1"/>
  <c r="D26" i="16"/>
  <c r="D24" i="16"/>
  <c r="F9" i="24" l="1"/>
  <c r="J9" i="24" s="1"/>
  <c r="D35" i="16"/>
  <c r="D34" i="16" s="1"/>
  <c r="D32" i="16"/>
  <c r="D31" i="16" s="1"/>
  <c r="D23" i="16"/>
  <c r="D40" i="16"/>
  <c r="G17" i="26"/>
  <c r="X17" i="26" s="1"/>
  <c r="D20" i="16" l="1"/>
  <c r="G15" i="26" s="1"/>
  <c r="X15" i="26" s="1"/>
  <c r="G13" i="26" l="1"/>
  <c r="X13" i="26" s="1"/>
  <c r="D44" i="16" l="1"/>
  <c r="D43" i="16" s="1"/>
  <c r="G24" i="26" s="1"/>
  <c r="D39" i="16"/>
  <c r="J13" i="26"/>
  <c r="T13" i="26" s="1"/>
  <c r="J12" i="26"/>
  <c r="T12" i="26" l="1"/>
  <c r="J13" i="39"/>
  <c r="J24" i="26"/>
  <c r="T24" i="26" s="1"/>
  <c r="X24" i="26"/>
  <c r="D47" i="16"/>
  <c r="D50" i="16" s="1"/>
  <c r="D49" i="16" s="1"/>
  <c r="G15" i="18"/>
  <c r="G14" i="18"/>
  <c r="D69" i="16" l="1"/>
  <c r="D55" i="16"/>
  <c r="D46" i="16"/>
  <c r="G25" i="26" s="1"/>
  <c r="D60" i="16"/>
  <c r="D54" i="16"/>
  <c r="D73" i="16"/>
  <c r="D72" i="16" s="1"/>
  <c r="D68" i="16"/>
  <c r="D78" i="16" s="1"/>
  <c r="L25" i="26" l="1"/>
  <c r="X25" i="26"/>
  <c r="J25" i="26"/>
  <c r="T25" i="26" s="1"/>
  <c r="G29" i="26"/>
  <c r="D76" i="16"/>
  <c r="D64" i="16"/>
  <c r="D63" i="16" s="1"/>
  <c r="G27" i="26" s="1"/>
  <c r="X27" i="26" s="1"/>
  <c r="D59" i="16"/>
  <c r="G26" i="26" s="1"/>
  <c r="X26" i="26" s="1"/>
  <c r="D84" i="16"/>
  <c r="D87" i="16" s="1"/>
  <c r="D90" i="16" s="1"/>
  <c r="D89" i="16" s="1"/>
  <c r="G36" i="26" s="1"/>
  <c r="G30" i="26"/>
  <c r="X30" i="26" s="1"/>
  <c r="J29" i="26" l="1"/>
  <c r="T29" i="26" s="1"/>
  <c r="X29" i="26"/>
  <c r="J36" i="26"/>
  <c r="T36" i="26" s="1"/>
  <c r="X36" i="26"/>
  <c r="D81" i="16"/>
  <c r="D79" i="16" s="1"/>
  <c r="G32" i="26" s="1"/>
  <c r="X32" i="26" s="1"/>
  <c r="D100" i="16"/>
  <c r="D99" i="16" s="1"/>
  <c r="D93" i="16"/>
  <c r="D92" i="16" s="1"/>
  <c r="D83" i="16"/>
  <c r="G34" i="26" s="1"/>
  <c r="J30" i="26"/>
  <c r="T30" i="26" s="1"/>
  <c r="G31" i="26"/>
  <c r="X31" i="26" s="1"/>
  <c r="G16" i="26"/>
  <c r="X16" i="26" s="1"/>
  <c r="G8" i="26"/>
  <c r="X8" i="26" s="1"/>
  <c r="D86" i="16"/>
  <c r="G35" i="26" s="1"/>
  <c r="X35" i="26" s="1"/>
  <c r="G18" i="26"/>
  <c r="X18" i="26" s="1"/>
  <c r="D16" i="16"/>
  <c r="D14" i="16" s="1"/>
  <c r="J34" i="26" l="1"/>
  <c r="T34" i="26" s="1"/>
  <c r="X34" i="26"/>
  <c r="Q35" i="26"/>
  <c r="L35" i="26"/>
  <c r="D108" i="16"/>
  <c r="D111" i="16" s="1"/>
  <c r="G37" i="26"/>
  <c r="D117" i="16"/>
  <c r="D120" i="16" s="1"/>
  <c r="D123" i="16" s="1"/>
  <c r="D122" i="16" s="1"/>
  <c r="G38" i="26"/>
  <c r="D107" i="16"/>
  <c r="G40" i="26" s="1"/>
  <c r="X40" i="26" s="1"/>
  <c r="D110" i="16"/>
  <c r="G41" i="26" s="1"/>
  <c r="G11" i="26"/>
  <c r="X11" i="26" s="1"/>
  <c r="G23" i="26"/>
  <c r="X23" i="26" s="1"/>
  <c r="G19" i="26"/>
  <c r="X19" i="26" s="1"/>
  <c r="G20" i="26"/>
  <c r="X20" i="26" s="1"/>
  <c r="K6" i="26"/>
  <c r="J18" i="26"/>
  <c r="J16" i="26"/>
  <c r="T16" i="26" s="1"/>
  <c r="J32" i="26"/>
  <c r="J8" i="26"/>
  <c r="J14" i="39" s="1"/>
  <c r="J6" i="39" s="1"/>
  <c r="J31" i="26"/>
  <c r="T31" i="26" s="1"/>
  <c r="J15" i="26"/>
  <c r="O7" i="39" l="1"/>
  <c r="L6" i="39"/>
  <c r="T15" i="26"/>
  <c r="J41" i="26"/>
  <c r="T41" i="26" s="1"/>
  <c r="X41" i="26"/>
  <c r="T8" i="26"/>
  <c r="J7" i="26"/>
  <c r="J38" i="26"/>
  <c r="T38" i="26" s="1"/>
  <c r="X38" i="26"/>
  <c r="T32" i="26"/>
  <c r="J28" i="26"/>
  <c r="J37" i="26"/>
  <c r="X37" i="26"/>
  <c r="L40" i="26"/>
  <c r="T18" i="26"/>
  <c r="D116" i="16"/>
  <c r="G43" i="26" s="1"/>
  <c r="D129" i="16"/>
  <c r="D128" i="16" s="1"/>
  <c r="D132" i="16"/>
  <c r="D131" i="16" s="1"/>
  <c r="T26" i="26"/>
  <c r="J27" i="26"/>
  <c r="J35" i="26"/>
  <c r="T35" i="26" s="1"/>
  <c r="J23" i="26"/>
  <c r="T23" i="26" s="1"/>
  <c r="J11" i="26"/>
  <c r="T11" i="26" s="1"/>
  <c r="J19" i="26"/>
  <c r="T19" i="26" s="1"/>
  <c r="D119" i="16"/>
  <c r="G44" i="26" s="1"/>
  <c r="X44" i="26" s="1"/>
  <c r="G45" i="26"/>
  <c r="X45" i="26" s="1"/>
  <c r="J20" i="26"/>
  <c r="T20" i="26" s="1"/>
  <c r="J40" i="26"/>
  <c r="Q8" i="39" l="1"/>
  <c r="R8" i="39" s="1"/>
  <c r="Q7" i="39"/>
  <c r="R7" i="39" s="1"/>
  <c r="J43" i="26"/>
  <c r="T43" i="26" s="1"/>
  <c r="X43" i="26"/>
  <c r="T40" i="26"/>
  <c r="J39" i="26"/>
  <c r="T27" i="26"/>
  <c r="J22" i="26"/>
  <c r="J21" i="26" s="1"/>
  <c r="T37" i="26"/>
  <c r="J33" i="26"/>
  <c r="C8" i="27"/>
  <c r="O8" i="27" s="1"/>
  <c r="D135" i="16"/>
  <c r="D134" i="16" s="1"/>
  <c r="G49" i="26" s="1"/>
  <c r="X49" i="26" s="1"/>
  <c r="C16" i="27"/>
  <c r="E16" i="27" s="1"/>
  <c r="G48" i="26"/>
  <c r="J45" i="26"/>
  <c r="J44" i="26"/>
  <c r="T44" i="26" s="1"/>
  <c r="J17" i="26"/>
  <c r="J48" i="26" l="1"/>
  <c r="T48" i="26" s="1"/>
  <c r="X48" i="26"/>
  <c r="T17" i="26"/>
  <c r="J14" i="26"/>
  <c r="T45" i="26"/>
  <c r="J42" i="26"/>
  <c r="C18" i="27" s="1"/>
  <c r="H18" i="27" s="1"/>
  <c r="E8" i="27"/>
  <c r="J8" i="27"/>
  <c r="K8" i="27"/>
  <c r="H8" i="27"/>
  <c r="D8" i="27"/>
  <c r="N8" i="27"/>
  <c r="M8" i="27"/>
  <c r="L8" i="27"/>
  <c r="I8" i="27"/>
  <c r="F8" i="27"/>
  <c r="G8" i="27"/>
  <c r="K16" i="27"/>
  <c r="J16" i="27"/>
  <c r="L16" i="27"/>
  <c r="O16" i="27"/>
  <c r="H16" i="27"/>
  <c r="D16" i="27"/>
  <c r="M16" i="27"/>
  <c r="I16" i="27"/>
  <c r="F16" i="27"/>
  <c r="N16" i="27"/>
  <c r="G16" i="27"/>
  <c r="J49" i="26"/>
  <c r="T49" i="26" s="1"/>
  <c r="C12" i="27" l="1"/>
  <c r="L12" i="27" s="1"/>
  <c r="N18" i="27"/>
  <c r="K18" i="27"/>
  <c r="M18" i="27"/>
  <c r="G18" i="27"/>
  <c r="L18" i="27"/>
  <c r="I18" i="27"/>
  <c r="O18" i="27"/>
  <c r="F18" i="27"/>
  <c r="D18" i="27"/>
  <c r="E18" i="27"/>
  <c r="J18" i="27"/>
  <c r="D12" i="16"/>
  <c r="H12" i="27" l="1"/>
  <c r="J12" i="27"/>
  <c r="N12" i="27"/>
  <c r="K12" i="27"/>
  <c r="D12" i="27"/>
  <c r="F12" i="27"/>
  <c r="G12" i="27"/>
  <c r="M12" i="27"/>
  <c r="E12" i="27"/>
  <c r="I12" i="27"/>
  <c r="O12" i="27"/>
  <c r="D10" i="16"/>
  <c r="G10" i="26" s="1"/>
  <c r="X10" i="26" s="1"/>
  <c r="J10" i="26" l="1"/>
  <c r="T10" i="26" l="1"/>
  <c r="J9" i="26"/>
  <c r="C10" i="27" s="1"/>
  <c r="N10" i="27" s="1"/>
  <c r="J10" i="27" l="1"/>
  <c r="G10" i="27"/>
  <c r="D10" i="27"/>
  <c r="O10" i="27"/>
  <c r="E10" i="27"/>
  <c r="H10" i="27"/>
  <c r="L10" i="27"/>
  <c r="K10" i="27"/>
  <c r="I10" i="27"/>
  <c r="M10" i="27"/>
  <c r="F10" i="27"/>
  <c r="G47" i="26"/>
  <c r="J47" i="26" l="1"/>
  <c r="J46" i="26" s="1"/>
  <c r="J6" i="26" s="1"/>
  <c r="X47" i="26"/>
  <c r="T47" i="26" l="1"/>
  <c r="U49" i="26" s="1"/>
  <c r="A49" i="26" s="1"/>
  <c r="T6" i="26"/>
  <c r="U34" i="26" l="1"/>
  <c r="A34" i="26" s="1"/>
  <c r="U43" i="26"/>
  <c r="A43" i="26" s="1"/>
  <c r="U31" i="26"/>
  <c r="A31" i="26" s="1"/>
  <c r="U32" i="26"/>
  <c r="A32" i="26" s="1"/>
  <c r="U13" i="26"/>
  <c r="A13" i="26" s="1"/>
  <c r="U19" i="26"/>
  <c r="A19" i="26" s="1"/>
  <c r="U15" i="26"/>
  <c r="A15" i="26" s="1"/>
  <c r="U29" i="26"/>
  <c r="A29" i="26" s="1"/>
  <c r="U35" i="26"/>
  <c r="A35" i="26" s="1"/>
  <c r="U48" i="26"/>
  <c r="A48" i="26" s="1"/>
  <c r="U37" i="26"/>
  <c r="A37" i="26" s="1"/>
  <c r="U23" i="26"/>
  <c r="A23" i="26" s="1"/>
  <c r="U26" i="26"/>
  <c r="A26" i="26" s="1"/>
  <c r="U30" i="26"/>
  <c r="A30" i="26" s="1"/>
  <c r="U17" i="26"/>
  <c r="A17" i="26" s="1"/>
  <c r="U40" i="26"/>
  <c r="A40" i="26" s="1"/>
  <c r="U45" i="26"/>
  <c r="A45" i="26" s="1"/>
  <c r="U41" i="26"/>
  <c r="A41" i="26" s="1"/>
  <c r="U10" i="26"/>
  <c r="A10" i="26" s="1"/>
  <c r="U25" i="26"/>
  <c r="A25" i="26" s="1"/>
  <c r="U36" i="26"/>
  <c r="A36" i="26" s="1"/>
  <c r="U11" i="26"/>
  <c r="A11" i="26" s="1"/>
  <c r="U27" i="26"/>
  <c r="A27" i="26" s="1"/>
  <c r="U12" i="26"/>
  <c r="A12" i="26" s="1"/>
  <c r="U20" i="26"/>
  <c r="A20" i="26" s="1"/>
  <c r="U44" i="26"/>
  <c r="A44" i="26" s="1"/>
  <c r="U8" i="26"/>
  <c r="U18" i="26"/>
  <c r="A18" i="26" s="1"/>
  <c r="U16" i="26"/>
  <c r="A16" i="26" s="1"/>
  <c r="U24" i="26"/>
  <c r="A24" i="26" s="1"/>
  <c r="U47" i="26"/>
  <c r="A47" i="26" s="1"/>
  <c r="U38" i="26"/>
  <c r="A38" i="26" s="1"/>
  <c r="O13" i="26"/>
  <c r="O12" i="26"/>
  <c r="O24" i="26"/>
  <c r="O29" i="26"/>
  <c r="O25" i="26"/>
  <c r="O36" i="26"/>
  <c r="O34" i="26"/>
  <c r="O30" i="26"/>
  <c r="O38" i="26"/>
  <c r="O37" i="26"/>
  <c r="O18" i="26"/>
  <c r="O31" i="26"/>
  <c r="O16" i="26"/>
  <c r="O41" i="26"/>
  <c r="O15" i="26"/>
  <c r="O32" i="26"/>
  <c r="O8" i="26"/>
  <c r="O26" i="26"/>
  <c r="O27" i="26"/>
  <c r="O11" i="26"/>
  <c r="O23" i="26"/>
  <c r="O20" i="26"/>
  <c r="O43" i="26"/>
  <c r="O35" i="26"/>
  <c r="O19" i="26"/>
  <c r="O40" i="26"/>
  <c r="O48" i="26"/>
  <c r="O17" i="26"/>
  <c r="O44" i="26"/>
  <c r="O45" i="26"/>
  <c r="O10" i="26"/>
  <c r="O47" i="26"/>
  <c r="F8" i="16"/>
  <c r="F11" i="16" s="1"/>
  <c r="L6" i="26"/>
  <c r="C20" i="27"/>
  <c r="C14" i="27"/>
  <c r="F9" i="16" l="1"/>
  <c r="G8" i="16"/>
  <c r="L20" i="27"/>
  <c r="F20" i="27"/>
  <c r="D20" i="27"/>
  <c r="G20" i="27"/>
  <c r="J20" i="27"/>
  <c r="E20" i="27"/>
  <c r="O20" i="27"/>
  <c r="M20" i="27"/>
  <c r="I20" i="27"/>
  <c r="N20" i="27"/>
  <c r="K20" i="27"/>
  <c r="H20" i="27"/>
  <c r="D6" i="32"/>
  <c r="D8" i="32" s="1"/>
  <c r="D14" i="27"/>
  <c r="L14" i="27"/>
  <c r="F14" i="27"/>
  <c r="K14" i="27"/>
  <c r="C6" i="27"/>
  <c r="I14" i="27"/>
  <c r="M14" i="27"/>
  <c r="E14" i="27"/>
  <c r="N14" i="27"/>
  <c r="G14" i="27"/>
  <c r="O14" i="27"/>
  <c r="J14" i="27"/>
  <c r="H14" i="27"/>
  <c r="G6" i="27" l="1"/>
  <c r="G22" i="27" s="1"/>
  <c r="G21" i="27" s="1"/>
  <c r="O6" i="27"/>
  <c r="O22" i="27" s="1"/>
  <c r="O21" i="27" s="1"/>
  <c r="L6" i="27"/>
  <c r="L22" i="27" s="1"/>
  <c r="L21" i="27" s="1"/>
  <c r="E6" i="27"/>
  <c r="E5" i="27" s="1"/>
  <c r="F6" i="27"/>
  <c r="F22" i="27" s="1"/>
  <c r="F21" i="27" s="1"/>
  <c r="M6" i="27"/>
  <c r="M5" i="27" s="1"/>
  <c r="N6" i="27"/>
  <c r="N22" i="27" s="1"/>
  <c r="N21" i="27" s="1"/>
  <c r="J6" i="27"/>
  <c r="J5" i="27" s="1"/>
  <c r="I6" i="27"/>
  <c r="I22" i="27" s="1"/>
  <c r="I21" i="27" s="1"/>
  <c r="K6" i="27"/>
  <c r="K22" i="27" s="1"/>
  <c r="K21" i="27" s="1"/>
  <c r="H6" i="27"/>
  <c r="H5" i="27" s="1"/>
  <c r="D6" i="27"/>
  <c r="D5" i="27" s="1"/>
  <c r="O49" i="26"/>
  <c r="Q11" i="26" s="1"/>
  <c r="R11" i="26" s="1"/>
  <c r="C17" i="27"/>
  <c r="C15" i="27"/>
  <c r="C19" i="27"/>
  <c r="C9" i="27"/>
  <c r="C7" i="27"/>
  <c r="C11" i="27"/>
  <c r="C13" i="27"/>
  <c r="E22" i="27" l="1"/>
  <c r="E21" i="27" s="1"/>
  <c r="Q8" i="26"/>
  <c r="R8" i="26" s="1"/>
  <c r="O5" i="27"/>
  <c r="G5" i="27"/>
  <c r="L5" i="27"/>
  <c r="I5" i="27"/>
  <c r="F5" i="27"/>
  <c r="J22" i="27"/>
  <c r="J21" i="27" s="1"/>
  <c r="M22" i="27"/>
  <c r="M21" i="27" s="1"/>
  <c r="N5" i="27"/>
  <c r="D22" i="27"/>
  <c r="D21" i="27" s="1"/>
  <c r="K5" i="27"/>
  <c r="Q9" i="26"/>
  <c r="R9" i="26" s="1"/>
  <c r="H22" i="27"/>
  <c r="H21" i="27" s="1"/>
  <c r="Q10" i="26"/>
  <c r="R10" i="26" s="1"/>
  <c r="C5" i="27"/>
  <c r="R12" i="26" l="1"/>
  <c r="Q12" i="26"/>
  <c r="Q5" i="27"/>
  <c r="D24" i="27"/>
  <c r="E24" i="27" s="1"/>
  <c r="Q21" i="27"/>
  <c r="D23" i="27" l="1"/>
  <c r="E23" i="27"/>
  <c r="F24" i="27"/>
  <c r="F23" i="27" l="1"/>
  <c r="G24" i="27"/>
  <c r="H24" i="27" l="1"/>
  <c r="G23" i="27"/>
  <c r="I24" i="27" l="1"/>
  <c r="H23" i="27"/>
  <c r="J24" i="27" l="1"/>
  <c r="I23" i="27"/>
  <c r="J23" i="27" l="1"/>
  <c r="K24" i="27"/>
  <c r="L24" i="27" l="1"/>
  <c r="K23" i="27"/>
  <c r="M24" i="27" l="1"/>
  <c r="L23" i="27"/>
  <c r="N24" i="27" l="1"/>
  <c r="M23" i="27"/>
  <c r="O24" i="27" l="1"/>
  <c r="O23" i="27" s="1"/>
  <c r="N23" i="27"/>
  <c r="A8" i="26" l="1"/>
</calcChain>
</file>

<file path=xl/sharedStrings.xml><?xml version="1.0" encoding="utf-8"?>
<sst xmlns="http://schemas.openxmlformats.org/spreadsheetml/2006/main" count="3658" uniqueCount="678">
  <si>
    <t>Item</t>
  </si>
  <si>
    <t>Descrição</t>
  </si>
  <si>
    <t>Und</t>
  </si>
  <si>
    <t>Quant.</t>
  </si>
  <si>
    <t>SERVIÇOS PRELIMINARES</t>
  </si>
  <si>
    <t>T x Km</t>
  </si>
  <si>
    <t>Placa de obra em chapa aço galvanizado, instalada - Rev 02_01/2022</t>
  </si>
  <si>
    <t>m²</t>
  </si>
  <si>
    <t>und</t>
  </si>
  <si>
    <t>CANTEIRO DE OBRAS EM CONTAINER (Escritório + WCs + Almoxarifado + Laboratório)</t>
  </si>
  <si>
    <t>UND</t>
  </si>
  <si>
    <t>m</t>
  </si>
  <si>
    <t>SERVICOS TOPOGRAFICOS PARA PAVIMENTACAO, INCLUSIVE NOTA DE SERVICOS, ACOMPANHAMENTO E GREIDE</t>
  </si>
  <si>
    <t>Espalhamento de material em bota-fora</t>
  </si>
  <si>
    <t>m³</t>
  </si>
  <si>
    <t>tkm</t>
  </si>
  <si>
    <t>Regularização e compactação do subleito</t>
  </si>
  <si>
    <t>Reforço do subleito com material de jazida</t>
  </si>
  <si>
    <t>M</t>
  </si>
  <si>
    <t>UN</t>
  </si>
  <si>
    <t>Conserto de quebra no ramal na rua sem pavimento com fornecimento de material hidráulico</t>
  </si>
  <si>
    <t>KG</t>
  </si>
  <si>
    <t>t</t>
  </si>
  <si>
    <t>Peso total a ser transportado</t>
  </si>
  <si>
    <t>km</t>
  </si>
  <si>
    <t>%</t>
  </si>
  <si>
    <t>-</t>
  </si>
  <si>
    <t>TRANSPORTE COM CAMINHÃO TANQUE DE TRANSPORTE DE MATERIAL ASFÁLTICO DE 30000 L, EM VIA URBANA PAVIMENTADA, DMT ATÉ 30KM (UNIDADE: TXKM). AF_07/2020</t>
  </si>
  <si>
    <t>APLICAÇÃO DE TRATAMENTO SUPERFICIAL DUPLO, COM EMULSÃO ASFÁLTICA RR-2C, COM CAPA SELANTE. AF_01/2020</t>
  </si>
  <si>
    <t>APLICAÇÃO IMPRIMAÇÃO COM ASFALTO DILUÍDO CM-30. AF_11/2019</t>
  </si>
  <si>
    <t>TXKM</t>
  </si>
  <si>
    <t>TRANSPORTE COM CAMINHÃO TANQUE DE TRANSPORTE DE MATERIAL ASFÁLTICO DE 30000 L, EM VIA URBANA PAVIMENTADA, ADICIONAL PARA DMT EXCEDENTE A 30 KM (UNIDADE: TXKM). AF_07/2020</t>
  </si>
  <si>
    <t>kg</t>
  </si>
  <si>
    <t>MEMÓRIA DE CÁLCULO DOS MOMENTOS DE TRANSPORTE PARA MOBILIZAÇÃO E DESMOBILIZAÇÃO</t>
  </si>
  <si>
    <t>Deslocamento:</t>
  </si>
  <si>
    <t>Peso das máquinas:</t>
  </si>
  <si>
    <t xml:space="preserve"> ton</t>
  </si>
  <si>
    <t>PESOS RETIRADOS DO MANUAL DE CUSTOS DE
INFRAESTRUTURA DE TRANSPORTES DO DNIT 2017
VOLUME 03
EQUIPAMENTOS
MINISTÉRIO</t>
  </si>
  <si>
    <t>Motoniveladora - 93 kW</t>
  </si>
  <si>
    <t>Rolo compactador de pneus autopropelido de 27 t - 85 kW</t>
  </si>
  <si>
    <t>Rolo compactador pé de carneiro vibratório autopropelido de 11,6 t - 82 kW</t>
  </si>
  <si>
    <t>Trator sobre esteiras com lâmina - 127 kW</t>
  </si>
  <si>
    <t>Escavadeira hidráulica sobre esteiras com caçamba com capacidade de 1,56 m³ - 118 kW</t>
  </si>
  <si>
    <t>Trator agrícola - 77 kW</t>
  </si>
  <si>
    <t>SITE ESPECIFICOS DE ATUAÇÃO DE CONTAINERES</t>
  </si>
  <si>
    <t>Total</t>
  </si>
  <si>
    <t>Portanto:</t>
  </si>
  <si>
    <t>Portanto</t>
  </si>
  <si>
    <t xml:space="preserve"> t x km</t>
  </si>
  <si>
    <t>SISTEMA DE REGISTRO DE PREÇO 6ª SR CODEVASF</t>
  </si>
  <si>
    <t>Aquição de Materiais Betuminoso</t>
  </si>
  <si>
    <t>Aquisição do CM-30 = (valor do material (tabela ANP)/0,82)+BDI de 15,00%</t>
  </si>
  <si>
    <t>Aquisição do RR-2C = (valor do material (tabela ANP)/0,82)+BDI de 15,00%</t>
  </si>
  <si>
    <t>ITEM</t>
  </si>
  <si>
    <t>Material</t>
  </si>
  <si>
    <t>R$/KG (Tabela ANP)</t>
  </si>
  <si>
    <t>Custo R$ C/BDI</t>
  </si>
  <si>
    <t>3.1</t>
  </si>
  <si>
    <t>CM-30</t>
  </si>
  <si>
    <t>ton</t>
  </si>
  <si>
    <t>3.2</t>
  </si>
  <si>
    <t>RR-2C</t>
  </si>
  <si>
    <t>*ICMS 18% E BDI 15%</t>
  </si>
  <si>
    <t>Aquisição de asfalto diluído tipo CM-30 com ICMS de 18%</t>
  </si>
  <si>
    <t>Aquisição de emulsão asfáltica RR-2C com ICMS de 18%</t>
  </si>
  <si>
    <t>Bancos</t>
  </si>
  <si>
    <t>Encargos Sociais</t>
  </si>
  <si>
    <t>Código</t>
  </si>
  <si>
    <t>Banco</t>
  </si>
  <si>
    <t>Valor Unit</t>
  </si>
  <si>
    <t>Valor Unit com BDI</t>
  </si>
  <si>
    <t>Próprio</t>
  </si>
  <si>
    <t>MOBILIZAÇÃO E DESMOBILIZAÇÃO (MÁQUINAS E CONTAINERS)</t>
  </si>
  <si>
    <t>ORSE</t>
  </si>
  <si>
    <t xml:space="preserve"> 78472 </t>
  </si>
  <si>
    <t>SINAPI</t>
  </si>
  <si>
    <t xml:space="preserve"> 4413942 </t>
  </si>
  <si>
    <t>SICRO3</t>
  </si>
  <si>
    <t xml:space="preserve"> 4011209 </t>
  </si>
  <si>
    <t xml:space="preserve"> 4011211 </t>
  </si>
  <si>
    <t xml:space="preserve"> ANP 001 </t>
  </si>
  <si>
    <t xml:space="preserve"> ANP 002 </t>
  </si>
  <si>
    <t xml:space="preserve"> 102330 </t>
  </si>
  <si>
    <t xml:space="preserve"> 102331 </t>
  </si>
  <si>
    <t>m2</t>
  </si>
  <si>
    <t>SERVIÇOS COMPLEMENTARES</t>
  </si>
  <si>
    <t>SINALIZAÇÃO</t>
  </si>
  <si>
    <t>DRENAGEM</t>
  </si>
  <si>
    <t>MATERIAL BETUMINOSO - AQUISIÇÃO E TRANSPORTE (BDI DIFERENCIADO = 15%)</t>
  </si>
  <si>
    <t>PAVIMENTAÇÃO - INFRAESTRUTURA</t>
  </si>
  <si>
    <t>PROJETO EXECUTIVO</t>
  </si>
  <si>
    <t>TERRAPLANAGEM</t>
  </si>
  <si>
    <t xml:space="preserve">MATERIAL BETUMINOSO - APLICAÇÃO </t>
  </si>
  <si>
    <t xml:space="preserve">MATERIAL BETUMINOSO - AQUISIÇÃO E TRANSPORTE (BDI DIFERENCIADO = 15%)  </t>
  </si>
  <si>
    <t/>
  </si>
  <si>
    <t>Quantidades</t>
  </si>
  <si>
    <t>Área</t>
  </si>
  <si>
    <t>PAVIMENTAÇÃO EM TSD</t>
  </si>
  <si>
    <t>VALOR TOTAL (R$)</t>
  </si>
  <si>
    <t>ÁREA TOTAL (m²)</t>
  </si>
  <si>
    <t>VALOR POR METRO QUADRADO</t>
  </si>
  <si>
    <t>Execução da Imprimação com asfalto diluído - CM-30</t>
  </si>
  <si>
    <t>Execução do tratamento superficial duplo com emulsão - brita comercial</t>
  </si>
  <si>
    <t>Brita nº0   (composição DNIT)</t>
  </si>
  <si>
    <t>Brita nº1   (composição DNIT)</t>
  </si>
  <si>
    <t xml:space="preserve"> 4011351 </t>
  </si>
  <si>
    <t xml:space="preserve"> 4011370 </t>
  </si>
  <si>
    <t xml:space="preserve"> 4915636 </t>
  </si>
  <si>
    <t>Composições Analíticas com Preço Unitário</t>
  </si>
  <si>
    <t>Composições Principais</t>
  </si>
  <si>
    <t>Tipo</t>
  </si>
  <si>
    <t>Composição</t>
  </si>
  <si>
    <t>SEDI - SERVIÇOS DIVERSOS</t>
  </si>
  <si>
    <t>Composição Auxiliar</t>
  </si>
  <si>
    <t xml:space="preserve"> 5914640 </t>
  </si>
  <si>
    <t>Transporte com cavalo mecânico com semirreboque com capacidade de 30 t - rodovia pavimentada</t>
  </si>
  <si>
    <t>Valor do BDI =&gt;</t>
  </si>
  <si>
    <t>Valor com BDI =&gt;</t>
  </si>
  <si>
    <t>CARPINTEIRO DE FORMAS COM ENCARGOS COMPLEMENTARES</t>
  </si>
  <si>
    <t>H</t>
  </si>
  <si>
    <t>Insumo</t>
  </si>
  <si>
    <t>PLACA DE OBRA (PARA CONSTRUCAO CIVIL) EM CHAPA GALVANIZADA *N. 22*, ADESIVADA, DE *2,0 X 1,125* M</t>
  </si>
  <si>
    <t>PREGO DE ACO POLIDO COM CABECA 18 X 30 (2 3/4 X 10)</t>
  </si>
  <si>
    <t xml:space="preserve"> P9824 </t>
  </si>
  <si>
    <t>Servente</t>
  </si>
  <si>
    <t>Mão de Obra</t>
  </si>
  <si>
    <t>h</t>
  </si>
  <si>
    <t>CANT - CANTEIRO DE OBRAS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</si>
  <si>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</si>
  <si>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</si>
  <si>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</si>
  <si>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</si>
  <si>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90772 </t>
  </si>
  <si>
    <t>AUXILIAR DE ESCRITORIO COM ENCARGOS COMPLEMENTARES</t>
  </si>
  <si>
    <t>Equipamento</t>
  </si>
  <si>
    <t xml:space="preserve"> 00010775 </t>
  </si>
  <si>
    <t>LOCACAO DE CONTAINER 2,30 X 6,00 M, ALT. 2,50 M, COM 1 SANITARIO, PARA ESCRITORIO, COMPLETO, SEM DIVISORIAS INTERNAS (NAO INCLUI MOBILIZACAO/DESMOBILIZACAO)</t>
  </si>
  <si>
    <t>MES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</si>
  <si>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</si>
  <si>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</si>
  <si>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00010779 </t>
  </si>
  <si>
    <t>LOCACAO DE CONTAINER 2,30 X 4,30 M, ALT. 2,50 M, P/ SANITARIO, C/ 5 BACIAS, 1 LAVATORIO E 4 MICTORIOS (NAO INCLUI MOBILIZACAO/DESMOBILIZACAO)</t>
  </si>
  <si>
    <t xml:space="preserve"> 88253 </t>
  </si>
  <si>
    <t>AUXILIAR DE TOPÓGRAFO COM ENCARGOS COMPLEMENTARES</t>
  </si>
  <si>
    <t>SERT - SERVIÇOS TÉCNICOS</t>
  </si>
  <si>
    <t xml:space="preserve"> 88597 </t>
  </si>
  <si>
    <t>DESENHISTA DETALHISTA COM ENCARGOS COMPLEMENTARES</t>
  </si>
  <si>
    <t xml:space="preserve"> 92145 </t>
  </si>
  <si>
    <t>CAMINHONETE CABINE SIMPLES COM MOTOR 1.6 FLEX, CÂMBIO MANUAL, POTÊNCIA 101/104 CV, 2 PORTAS - CHP DIURNO. AF_11/2015</t>
  </si>
  <si>
    <t>CHOR - CUSTOS HORÁRIOS DE MÁQUINAS E EQUIPAMENTOS</t>
  </si>
  <si>
    <t>CHP</t>
  </si>
  <si>
    <t xml:space="preserve"> 88288 </t>
  </si>
  <si>
    <t>NIVELADOR COM ENCARGOS COMPLEMENTARES</t>
  </si>
  <si>
    <t xml:space="preserve"> 00004509 </t>
  </si>
  <si>
    <t>SARRAFO *2,5 X 10* CM EM PINUS, MISTA OU EQUIVALENTE DA REGIAO - BRUTA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</si>
  <si>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</si>
  <si>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</si>
  <si>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</si>
  <si>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</si>
  <si>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</si>
  <si>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</si>
  <si>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</si>
  <si>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</si>
  <si>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Custo Horário de Equipamentos =&gt;</t>
  </si>
  <si>
    <t>B</t>
  </si>
  <si>
    <t>Salário Hora</t>
  </si>
  <si>
    <t>P9824</t>
  </si>
  <si>
    <t>Custo Horário da Mão de Obra =&gt;</t>
  </si>
  <si>
    <t>Adc.M.O. - Ferramentas (0,0%)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</si>
  <si>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</si>
  <si>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</si>
  <si>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</si>
  <si>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</si>
  <si>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</si>
  <si>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E9667</t>
  </si>
  <si>
    <t>Caminhão basculante com capacidade de 14 m³ - 188 kW</t>
  </si>
  <si>
    <t>E9540</t>
  </si>
  <si>
    <t>E9571</t>
  </si>
  <si>
    <t>Caminhão tanque com capacidade de 10.000 l - 188 kW</t>
  </si>
  <si>
    <t>E9518</t>
  </si>
  <si>
    <t>Grade de 24 discos rebocável de 24"</t>
  </si>
  <si>
    <t>E9524</t>
  </si>
  <si>
    <t>E9762</t>
  </si>
  <si>
    <t>E9685</t>
  </si>
  <si>
    <t>E9577</t>
  </si>
  <si>
    <t>D</t>
  </si>
  <si>
    <t>Atividades Auxiliares</t>
  </si>
  <si>
    <t>Unidade</t>
  </si>
  <si>
    <t>Preço Unitário</t>
  </si>
  <si>
    <t>Atividade Auxiliar</t>
  </si>
  <si>
    <t>Escavação e carga de material de jazida com escavadeira hidráulica de 1,56 m³</t>
  </si>
  <si>
    <t>Custo Total das Atividades =&gt;</t>
  </si>
  <si>
    <t>E</t>
  </si>
  <si>
    <t>Tempos Fixos</t>
  </si>
  <si>
    <t>Tempo Fixo</t>
  </si>
  <si>
    <t>Carga, manobra e descarga de agregados ou solos em caminhão basculante de 10 m³ - carga com escavadeira de 1,56 m³(exclusa) e descarga livre</t>
  </si>
  <si>
    <t>Custo Total dos Tempos Fixos =&gt;</t>
  </si>
  <si>
    <t>FOMA - FORNECIMENTO DE MATERIAIS E EQUIPAMENTOS</t>
  </si>
  <si>
    <t>TRAN - TRANSPORTES, CARGAS E DESCARGAS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</si>
  <si>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</si>
  <si>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</si>
  <si>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</si>
  <si>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</si>
  <si>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>CHI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</si>
  <si>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</si>
  <si>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</si>
  <si>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</si>
  <si>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</si>
  <si>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E9583</t>
  </si>
  <si>
    <t>Distribuidor de agregados rebocável com capacidade de 1,9 m³</t>
  </si>
  <si>
    <t>C</t>
  </si>
  <si>
    <t>M0005</t>
  </si>
  <si>
    <t>Brita 0</t>
  </si>
  <si>
    <t>M0191</t>
  </si>
  <si>
    <t>Brita 1</t>
  </si>
  <si>
    <t>Custo Total do Material =&gt;</t>
  </si>
  <si>
    <t>Carga, manobra e descarga de agregados ou solos em caminhão basculante de 10 m³ - carga com carregadeira de 3,40 m³(exclusa) e descarga em distribuidor rebocável</t>
  </si>
  <si>
    <t xml:space="preserve"> 00000370 </t>
  </si>
  <si>
    <t>AREIA MEDIA - POSTO JAZIDA/FORNECEDOR (RETIRADO NA JAZIDA, SEM TRANSPORTE)</t>
  </si>
  <si>
    <t>FUES - FUNDAÇÕES E ESTRUTURAS</t>
  </si>
  <si>
    <t xml:space="preserve"> 88267 </t>
  </si>
  <si>
    <t>ENCANADOR OU BOMBEIRO HIDRÁULICO COM ENCARGOS COMPLEMENTARES</t>
  </si>
  <si>
    <t xml:space="preserve"> 00009867 </t>
  </si>
  <si>
    <t xml:space="preserve"> 10585 </t>
  </si>
  <si>
    <t>un</t>
  </si>
  <si>
    <t xml:space="preserve"> 00003859 </t>
  </si>
  <si>
    <t>LUVA SOLDAVEL COM ROSCA, PVC, 20 MM X 1/2", PARA AGUA FRIA PREDIAL</t>
  </si>
  <si>
    <t>Composições Auxiliares</t>
  </si>
  <si>
    <t xml:space="preserve"> 5914648 </t>
  </si>
  <si>
    <t>E9579</t>
  </si>
  <si>
    <t>Caminhão basculante com capacidade de 10 m³ - 188 kW</t>
  </si>
  <si>
    <t xml:space="preserve"> 5914354 </t>
  </si>
  <si>
    <t>E9506</t>
  </si>
  <si>
    <t>Caminhão basculante com capacidade de 6 m³ - 136 kW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</si>
  <si>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</si>
  <si>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</si>
  <si>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</si>
  <si>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</si>
  <si>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</si>
  <si>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</si>
  <si>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00004721 </t>
  </si>
  <si>
    <t>PEDRA BRITADA N. 1 (9,5 a 19 MM) POSTO PEDREIRA/FORNECEDOR, SEM FRETE</t>
  </si>
  <si>
    <t xml:space="preserve"> 4016096 </t>
  </si>
  <si>
    <t>E9515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</si>
  <si>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</si>
  <si>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</si>
  <si>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</si>
  <si>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</si>
  <si>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</si>
  <si>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</si>
  <si>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5914314 </t>
  </si>
  <si>
    <t>Transporte com caminhão basculante de 6 m³ - rodovia em leito natural</t>
  </si>
  <si>
    <t xml:space="preserve"> 5914329 </t>
  </si>
  <si>
    <t>Transporte com caminhão basculante de 6 m³ - rodovia em revestimento primário</t>
  </si>
  <si>
    <t>E9666</t>
  </si>
  <si>
    <t>Cavalo mecânico com semirreboque com capacidade de 30 t - 265 kW</t>
  </si>
  <si>
    <t>Distância média para o bota-fora:</t>
  </si>
  <si>
    <t>DMT da composição</t>
  </si>
  <si>
    <t>DMT conforme planilha em anexo menos 30 Km composição anterior</t>
  </si>
  <si>
    <t>74209/001</t>
  </si>
  <si>
    <t>Placa de obra em chapa aço galvanizado, instalada</t>
  </si>
  <si>
    <t>ADMINISTRAÇÃO LOCAL DE OBRA</t>
  </si>
  <si>
    <t>LOTE 01</t>
  </si>
  <si>
    <t>4.1</t>
  </si>
  <si>
    <t>4.2</t>
  </si>
  <si>
    <t>4.3</t>
  </si>
  <si>
    <t>M2</t>
  </si>
  <si>
    <t>Largura da faixa</t>
  </si>
  <si>
    <t>Comprimento</t>
  </si>
  <si>
    <t>Placa de regulamentação em aço D = 0,60 m - película retrorrefletiva tipo I + SI - fornecimento e implantação</t>
  </si>
  <si>
    <t>Pintura de faixa com tinta acrílica - espessura de 0,4 mm</t>
  </si>
  <si>
    <t>Suporte metálico galvanizado para placa de advertência ou regulamentação - lado ou diâmetro de 0,60 m - fornecimento eimplantação</t>
  </si>
  <si>
    <t>1.1</t>
  </si>
  <si>
    <t>2.1</t>
  </si>
  <si>
    <t>2.2</t>
  </si>
  <si>
    <t>2.3</t>
  </si>
  <si>
    <t>2.4</t>
  </si>
  <si>
    <t>3.3</t>
  </si>
  <si>
    <t>3.4</t>
  </si>
  <si>
    <t>3.5</t>
  </si>
  <si>
    <t>5.1</t>
  </si>
  <si>
    <t>PAVIMENTAÇÃO</t>
  </si>
  <si>
    <t>APLICAÇÃO MATERIAL BETUMINOSO</t>
  </si>
  <si>
    <t>INFRAESTRUTURA</t>
  </si>
  <si>
    <t>4.3.1</t>
  </si>
  <si>
    <t>4.2.1</t>
  </si>
  <si>
    <t>4.2.2</t>
  </si>
  <si>
    <t>4.2.3</t>
  </si>
  <si>
    <t>4.2.4</t>
  </si>
  <si>
    <t>4.1.1</t>
  </si>
  <si>
    <t>4.1.2</t>
  </si>
  <si>
    <t>4.1.3</t>
  </si>
  <si>
    <t>4.1.4</t>
  </si>
  <si>
    <t>4.3.2</t>
  </si>
  <si>
    <t>4.3.3</t>
  </si>
  <si>
    <t>4.3.4</t>
  </si>
  <si>
    <t>4.3.5</t>
  </si>
  <si>
    <t>6.1</t>
  </si>
  <si>
    <t>6.2</t>
  </si>
  <si>
    <t>6.3</t>
  </si>
  <si>
    <t>7.1</t>
  </si>
  <si>
    <t>7.2</t>
  </si>
  <si>
    <t>7.3</t>
  </si>
  <si>
    <t>Quantidade por modulo: 3 FAIXAS</t>
  </si>
  <si>
    <t>SINALIZAÇÃO HORIZONTAL E VERTICAL</t>
  </si>
  <si>
    <t xml:space="preserve"> 74209/001 </t>
  </si>
  <si>
    <t>PLACA DE OBRA EM CHAPA DE ACO GALVANIZADO</t>
  </si>
  <si>
    <t xml:space="preserve"> 94962 </t>
  </si>
  <si>
    <t>CONCRETO MAGRO PARA LASTRO, TRAÇO 1:4,5:4,5 (EM MASSA SECA DE CIMENTO/ AREIA MÉDIA/ BRITA 1) - PREPARO MECÂNICO COM BETONEIRA 400 L. AF_05/2021</t>
  </si>
  <si>
    <t>PONTALETE *7,5 X 7,5* CM EM PINUS, MISTA OU EQUIVALENTE DA REGIAO - BRUTA</t>
  </si>
  <si>
    <t>SARRAFO NAO APARELHADO *2,5 X 7* CM, EM MACARANDUBA, ANGELIM OU EQUIVALENTE DA REGIAO -  BRUTA</t>
  </si>
  <si>
    <t>E9511</t>
  </si>
  <si>
    <t>Carregadeira de pneus com capacidade de 3,40 m³ - 195 kW</t>
  </si>
  <si>
    <t>Concreto fck = 20 MPa - confecção em betoneira e lançamento manual - areia e brita comerciais</t>
  </si>
  <si>
    <t>Escavação manual em material de 1ª categoria na profundidade de até 1 m</t>
  </si>
  <si>
    <t xml:space="preserve"> 5213440 </t>
  </si>
  <si>
    <t>E9687</t>
  </si>
  <si>
    <t>Caminhão carroceria com capacidade de 5 t - 115 kW</t>
  </si>
  <si>
    <t>P9830</t>
  </si>
  <si>
    <t>Montador</t>
  </si>
  <si>
    <t>Placa em aço nº 16 galvanizado com película retrorrefletiva tipo I + SI - confecção</t>
  </si>
  <si>
    <t xml:space="preserve"> 5213863 </t>
  </si>
  <si>
    <t>M0789</t>
  </si>
  <si>
    <t>Conjunto para fixação de placas em aço galvanizado composto por barra chata, abraçadeira, parafusos,</t>
  </si>
  <si>
    <t>M0787</t>
  </si>
  <si>
    <t>Suporte em aço-carbono galvanizado tipo perfil C para placa de sinalização</t>
  </si>
  <si>
    <t xml:space="preserve"> 5213400 </t>
  </si>
  <si>
    <t>E9644</t>
  </si>
  <si>
    <t>Caminhão demarcador de faixas com sistema de pintura a frio - 28 kW/115 kW</t>
  </si>
  <si>
    <t>P9853</t>
  </si>
  <si>
    <t>Pré-marcador</t>
  </si>
  <si>
    <t>M2037</t>
  </si>
  <si>
    <t>Microesferas refletivas de vidro tipo I-B</t>
  </si>
  <si>
    <t>M2038</t>
  </si>
  <si>
    <t>Microesferas refletivas de vidro tipo II-A</t>
  </si>
  <si>
    <t>M2034</t>
  </si>
  <si>
    <t>Solvente para tinta à base de resina acrílica</t>
  </si>
  <si>
    <t>l</t>
  </si>
  <si>
    <t>M2044</t>
  </si>
  <si>
    <t>Tinta à base de resina acrílica emulsionada em água para pré-marcação viária</t>
  </si>
  <si>
    <t>M2027</t>
  </si>
  <si>
    <t>Tinta à base de resina acrílica estirenada para demarcação viária</t>
  </si>
  <si>
    <t xml:space="preserve"> 5914647 </t>
  </si>
  <si>
    <t>Carga, manobra e descarga de agregados ou solos em caminhão basculante de 10 m³ - carga com carregadeira de 3,40 m³(exclusa) e descarga livre</t>
  </si>
  <si>
    <t>E9592</t>
  </si>
  <si>
    <t>Caminhão carroceria com capacidade de 15 t - 188 kW</t>
  </si>
  <si>
    <t xml:space="preserve"> 1107892 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</si>
  <si>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</si>
  <si>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</si>
  <si>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</si>
  <si>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</si>
  <si>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</si>
  <si>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</si>
  <si>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</si>
  <si>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</si>
  <si>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</si>
  <si>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</si>
  <si>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</si>
  <si>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</si>
  <si>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</si>
  <si>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</si>
  <si>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M0192</t>
  </si>
  <si>
    <t>Brita 2</t>
  </si>
  <si>
    <t>M0424</t>
  </si>
  <si>
    <t>Cimento Portland CP II - 32 - saco</t>
  </si>
  <si>
    <t xml:space="preserve"> 4805750 </t>
  </si>
  <si>
    <t>P9801</t>
  </si>
  <si>
    <t>Ajudante</t>
  </si>
  <si>
    <t xml:space="preserve"> 5212552 </t>
  </si>
  <si>
    <t>Pintura eletrostática a pó com tinta poliéster em chapa de aço</t>
  </si>
  <si>
    <t>E9076</t>
  </si>
  <si>
    <t>Equipamento para pintura eletrostática com cabine dupla de 7,00 kW e estufa de 80.000 kCal</t>
  </si>
  <si>
    <t>P9822</t>
  </si>
  <si>
    <t>Pintor</t>
  </si>
  <si>
    <t>M3153</t>
  </si>
  <si>
    <t>Tinta em pó à base de resina poliéster</t>
  </si>
  <si>
    <t xml:space="preserve"> 5213414 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</si>
  <si>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</si>
  <si>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</si>
  <si>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</si>
  <si>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</si>
  <si>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</si>
  <si>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</si>
  <si>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P9823</t>
  </si>
  <si>
    <t>Serralheiro</t>
  </si>
  <si>
    <t>M1367</t>
  </si>
  <si>
    <t>Chapa fina em aço galvanizado</t>
  </si>
  <si>
    <t>M3229</t>
  </si>
  <si>
    <t>Película retrorrefletiva tipo I + SI (sinal impresso com película de sobreposição tipo V)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</si>
  <si>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</si>
  <si>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</si>
  <si>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</si>
  <si>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</si>
  <si>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</si>
  <si>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</si>
  <si>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>OBJETO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</si>
  <si>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</si>
  <si>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</si>
  <si>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</si>
  <si>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</si>
  <si>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</si>
  <si>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</si>
  <si>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</si>
  <si>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</si>
  <si>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</si>
  <si>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</si>
  <si>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</si>
  <si>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</si>
  <si>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</si>
  <si>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</si>
  <si>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</si>
  <si>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</si>
  <si>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</si>
  <si>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 xml:space="preserve">EXECUÇÃO DE SERVIÇOS DE PAVIMENTAÇÃO COM TRATAMENTO SUPERFICIAL DUPLO EM VIAS DOS MUNICÍPIOS DIVERSOS INSERIDOS NA ÁREA DE ATUAÇÃO DA 6ª SUPERINTENDÊNCIA DA CODEVASF EM JUAZEIRO/BA						</t>
  </si>
  <si>
    <t>incc</t>
  </si>
  <si>
    <t>i</t>
  </si>
  <si>
    <t>p</t>
  </si>
  <si>
    <t>d</t>
  </si>
  <si>
    <t>Não Desonerado: 
Horista: 115,15%
Mensalista: 71,22%</t>
  </si>
  <si>
    <t>PLANILHA RESUMO</t>
  </si>
  <si>
    <t>Orçamento Sintético Não Desonerado</t>
  </si>
  <si>
    <t>EXECUÇÃO DE SERVIÇOS DE PAVIMENTAÇÃO COM TRATAMENTO SUPERFICIAL DUPLO EM VIAS DOS MUNICÍPIOS DIVERSOS INSERIDOS NA ÁREA DE ATUAÇÃO DA 6ª SUPERINTENDÊNCIA DA CODEVASF EM JUAZEIRO/BA - LOTE 01</t>
  </si>
  <si>
    <t>MEMORIAL DE CÁLCULO</t>
  </si>
  <si>
    <t>COMPOSIÇAO PREÇO PROJETO EXECUTIVO - CPU 01</t>
  </si>
  <si>
    <t>DISCRIMINAÇAO</t>
  </si>
  <si>
    <t>Base</t>
  </si>
  <si>
    <t>Quantitativo</t>
  </si>
  <si>
    <t>Pr. Unit.</t>
  </si>
  <si>
    <t>Pr. Total</t>
  </si>
  <si>
    <t>A· EQUIPE TÉCNICA</t>
  </si>
  <si>
    <t>A. 1 - Pessoal de Nível Superior</t>
  </si>
  <si>
    <t>Engenheiro</t>
  </si>
  <si>
    <t>Topógrafo</t>
  </si>
  <si>
    <t>A.2 - Pessoal de Nível Técnico e Aux.</t>
  </si>
  <si>
    <t>Auxiliar de topógrafo</t>
  </si>
  <si>
    <t>Cadista/calculista</t>
  </si>
  <si>
    <t>B - ENCARGOS SOCIAIS</t>
  </si>
  <si>
    <t>Taxas 115,15%</t>
  </si>
  <si>
    <t>JÁ INCLUSAS 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</si>
  <si>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</si>
  <si>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</si>
  <si>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</si>
  <si>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</si>
  <si>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C.3 - EQUIPAMENTOS, INSTALAÇÕES E MOBILIÁRIO</t>
  </si>
  <si>
    <t>D - ENSAIOS</t>
  </si>
  <si>
    <t>D.1 - ENSAIOS</t>
  </si>
  <si>
    <t>M²</t>
  </si>
  <si>
    <t>Composição Ensaios (CPU-08)</t>
  </si>
  <si>
    <t>I - SOMA (A+B+C+D)</t>
  </si>
  <si>
    <t>I - RELATÓRIOS</t>
  </si>
  <si>
    <t>Estimativa % como referência soma II</t>
  </si>
  <si>
    <t>X - TOTAL</t>
  </si>
  <si>
    <t>Por m²:</t>
  </si>
  <si>
    <t>Encargos Sociais Não Desonerado</t>
  </si>
  <si>
    <t>Horista:</t>
  </si>
  <si>
    <t>Mensalista:</t>
  </si>
  <si>
    <t>CPU 08</t>
  </si>
  <si>
    <t>CODEVASF</t>
  </si>
  <si>
    <t>CONTROLE TECNOLÓGICO - PROJETO</t>
  </si>
  <si>
    <t>COEF.</t>
  </si>
  <si>
    <t>PRECO UNITÁRIO (R$)</t>
  </si>
  <si>
    <t>TOTAL (R$)</t>
  </si>
  <si>
    <t>SICRO</t>
  </si>
  <si>
    <t>P9858</t>
  </si>
  <si>
    <t>Laboratorista</t>
  </si>
  <si>
    <t>mês</t>
  </si>
  <si>
    <t>P9833</t>
  </si>
  <si>
    <t>Auxiliar de Laboratório</t>
  </si>
  <si>
    <t>*B8957</t>
  </si>
  <si>
    <t>Laboratório de Solos</t>
  </si>
  <si>
    <t>*B8956</t>
  </si>
  <si>
    <t>*Relatório de Custos Gerais do DNIT, página 1</t>
  </si>
  <si>
    <t>Sub total:</t>
  </si>
  <si>
    <t>CPU-20</t>
  </si>
  <si>
    <t>PREÇO UNITÁRIO TOTAL:</t>
  </si>
  <si>
    <t>PREÇO REFERÊNCIA</t>
  </si>
  <si>
    <t>Cronograma Físico e Financeiro</t>
  </si>
  <si>
    <t>PROJETO EXECUTIVO COM TOPOGRAFIA</t>
  </si>
  <si>
    <t xml:space="preserve"> CPU 01</t>
  </si>
  <si>
    <t>MODULO =&gt;</t>
  </si>
  <si>
    <t>EXTENSÃO =&gt;</t>
  </si>
  <si>
    <t>LARGURA =&gt;</t>
  </si>
  <si>
    <t>UND.</t>
  </si>
  <si>
    <t>DADOS DO MÓDULO</t>
  </si>
  <si>
    <t xml:space="preserve"> CPU 02</t>
  </si>
  <si>
    <t xml:space="preserve"> CPU 03</t>
  </si>
  <si>
    <t xml:space="preserve"> CPU 04</t>
  </si>
  <si>
    <t>CPU 05</t>
  </si>
  <si>
    <t>CPU 06</t>
  </si>
  <si>
    <t>CPU 07</t>
  </si>
  <si>
    <t>LEVANTAMENTO DE TAMPÃO DE POÇO DE VISITA, INCLUINDO RETIRADA E REASSENTAMENTO TAMPÃO.</t>
  </si>
  <si>
    <t>Carga, manobra e descarga de agregados ou solos em caminhão basculante de 14 m³ - carga com carregadeira de 3,40 m³ edescarga livre</t>
  </si>
  <si>
    <t>3.6</t>
  </si>
  <si>
    <t xml:space="preserve">Transporte com caminhão basculante de 14 m³ - rodovia em revestimento primário </t>
  </si>
  <si>
    <t>Transporte com caminhão basculante de 14 m³ - rodovia pavimentada</t>
  </si>
  <si>
    <t>5.3</t>
  </si>
  <si>
    <t>Reaterro e compactação com soquete vibratório</t>
  </si>
  <si>
    <t>m3</t>
  </si>
  <si>
    <t>t/m3</t>
  </si>
  <si>
    <t>4.1.5</t>
  </si>
  <si>
    <t>Volume da camada de Reforço do Subleito: 14.000m² x 0,20m = 2.800m²</t>
  </si>
  <si>
    <t>Medidas da placa: h = 1,80m x c =3,60m</t>
  </si>
  <si>
    <t>Módulo padrão: Via com 7m de largura e 2.000m de extensão = &gt;</t>
  </si>
  <si>
    <t>Sub-base estabilizada granulometricamente com mistura de solos na pista com material de jazida</t>
  </si>
  <si>
    <t>Área de imprimação =&gt;</t>
  </si>
  <si>
    <t>Taxa do produto por m2 =&gt;</t>
  </si>
  <si>
    <t>t/m2</t>
  </si>
  <si>
    <t>Transporte de agregado com caminhão basculante de 14 m³ - rodovia em revestimento primário</t>
  </si>
  <si>
    <t>Transporte de agregado com caminhão basculante de 14 m³ - rodovia pavimentada</t>
  </si>
  <si>
    <t>Custo  R$/T</t>
  </si>
  <si>
    <t>Taxa do produto por m2 do TSD + Capa =&gt;</t>
  </si>
  <si>
    <t>Transporte com caminhão basculante de 14 m³ - rodovia em revestimento primário (SOLO)</t>
  </si>
  <si>
    <t>Base estabilizada granulometricamente com mistura solo brita (70% - 30%) na pista com material de jazida e brita comercial</t>
  </si>
  <si>
    <t>Transporte com caminhão basculante de 10 m³ - rodovia em revestimento primário (brita)</t>
  </si>
  <si>
    <t>Transporte com caminhão basculante de 10 m³ - rodovia pavimentada (brita)</t>
  </si>
  <si>
    <t>Peso do material solo: (vol reforço + vol subbase) * 2,06301 t/m³ (composição) = &gt;</t>
  </si>
  <si>
    <t>Peso do material solo: (vol base) * 1,44411 t/m³ (composição) = &gt;</t>
  </si>
  <si>
    <t>Peso do material brita: vol base * 0,61890 t/m³ = &gt;</t>
  </si>
  <si>
    <t>Largura do aterro</t>
  </si>
  <si>
    <t>Profundidade do aterro</t>
  </si>
  <si>
    <t>Comprimento do aterro (extensão de cada passeio x 2 lados)</t>
  </si>
  <si>
    <t>MOBILIZAÇÃO E DESMOBILIZAÇÃO</t>
  </si>
  <si>
    <t xml:space="preserve">Peso dos materiais =&gt; </t>
  </si>
  <si>
    <t>Meio fio  (comp. x 2 lados) =&gt;</t>
  </si>
  <si>
    <t>Quantidade de poços de visitas por via: 01 a cada 100 metros</t>
  </si>
  <si>
    <t>PODA DE ÁRVORE</t>
  </si>
  <si>
    <t xml:space="preserve"> 5914351 </t>
  </si>
  <si>
    <t xml:space="preserve"> 5915320 </t>
  </si>
  <si>
    <t>Transporte com caminhão basculante de 14 m³ - rodovia em revestimento primário</t>
  </si>
  <si>
    <t xml:space="preserve"> 5915321 </t>
  </si>
  <si>
    <t xml:space="preserve"> 4011228 </t>
  </si>
  <si>
    <t xml:space="preserve"> 4011256 </t>
  </si>
  <si>
    <t>DROP - DRENAGEM/OBRAS DE CONTENÇÃO / POÇOS DE VISITA E CAIXAS</t>
  </si>
  <si>
    <t xml:space="preserve"> P9821 </t>
  </si>
  <si>
    <t xml:space="preserve"> 4815671 </t>
  </si>
  <si>
    <t>E9647</t>
  </si>
  <si>
    <t>Compactador manual com soquete vibratório - 4,10 kW</t>
  </si>
  <si>
    <t xml:space="preserve"> 1.7.3 </t>
  </si>
  <si>
    <t>RECUPERAÇÃO DO RAMAL PREDIAL DANIFICADO</t>
  </si>
  <si>
    <t>TUBO PVC, SOLDAVEL, DE 20 MM, AGUA FRIA (NBR-5648)</t>
  </si>
  <si>
    <t xml:space="preserve"> 2060542 </t>
  </si>
  <si>
    <t>CAERN</t>
  </si>
  <si>
    <t>RETIRADA E REASSENTAMENTO DE TAMPÃO DE POÇO DE VISITA</t>
  </si>
  <si>
    <t>DROP</t>
  </si>
  <si>
    <t xml:space="preserve"> 062100 </t>
  </si>
  <si>
    <t>SIURB INFRA</t>
  </si>
  <si>
    <t>LEVANTAMENTO OU REBAIXAMENTO DE TAMPÃO DE POÇO DE VISITA</t>
  </si>
  <si>
    <t>Infraestrutura</t>
  </si>
  <si>
    <t xml:space="preserve"> M0424 </t>
  </si>
  <si>
    <t xml:space="preserve"> 100489 </t>
  </si>
  <si>
    <t>ARGAMASSA TRAÇO 1:3 (EM VOLUME DE CIMENTO E AREIA MÉDIA ÚMIDA), PREPARO MECÂNICO COM BETONEIRA 600 L. AF_08/2019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</si>
  <si>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</si>
  <si>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</si>
  <si>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</si>
  <si>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</si>
  <si>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5914642 </t>
  </si>
  <si>
    <t xml:space="preserve"> 98564 </t>
  </si>
  <si>
    <t>PROTEÇÃO MECÂNICA DE SUPERFÍCIE VERTICAL COM ARGAMASSA DE CIMENTO E AREIA, TRAÇO 1:3, E=2CM. AF_09/2023</t>
  </si>
  <si>
    <t>IMPE - IMPERMEABILIZAÇÕES E PROTEÇÕES DIVERSAS</t>
  </si>
  <si>
    <t xml:space="preserve"> 00007258 </t>
  </si>
  <si>
    <t>TIJOLO CERAMICO MACICO COMUM *5 X 10 X 20* CM (L X A X C)</t>
  </si>
  <si>
    <t xml:space="preserve"> 00010931 </t>
  </si>
  <si>
    <t>TELA DE ARAME GALVANIZADA, HEXAGONAL, FIO 0,56 MM (24 BWG), MALHA 1/2", H = 1 M</t>
  </si>
  <si>
    <t>E9753</t>
  </si>
  <si>
    <t>Grupo gerador - 23 kVA</t>
  </si>
  <si>
    <t xml:space="preserve"> 5914344 </t>
  </si>
  <si>
    <t>Transporte com caminhão basculante de 6 m³ - rodovia pavimentada</t>
  </si>
  <si>
    <t>CONTAINER 2,30 X 6,00 M, ALT. 2,50 M (03 UNIDADES)</t>
  </si>
  <si>
    <t xml:space="preserve"> 2.3 </t>
  </si>
  <si>
    <t xml:space="preserve">2.4 </t>
  </si>
  <si>
    <t>Quantidade de árvores por via (01 a cada 100 metros) =&gt;</t>
  </si>
  <si>
    <t xml:space="preserve"> P9815 </t>
  </si>
  <si>
    <t>Jardineiro</t>
  </si>
  <si>
    <t>Capa selante - areia comercial</t>
  </si>
  <si>
    <t>Densidade do material escavado</t>
  </si>
  <si>
    <t>Espessura da escavação da regularização:</t>
  </si>
  <si>
    <t>Área da pavimentação =&gt;</t>
  </si>
  <si>
    <t>Volume Transportado = volume da carga =&gt;</t>
  </si>
  <si>
    <t>Espalhamento de material em bota-fora = volume da carga escavado na regularização</t>
  </si>
  <si>
    <t>Transporte com caminhão basculante de 14 m³ - rodovia em revestimento primário (solo)</t>
  </si>
  <si>
    <t>Transporte com caminhão basculante de 14 m³ - rodovia pavimentada (solo)</t>
  </si>
  <si>
    <t>Distância média de transporte da mobilização e desmobilização</t>
  </si>
  <si>
    <t>Distância média de transporte do solo</t>
  </si>
  <si>
    <t>Areia comercial (composição DNIT)</t>
  </si>
  <si>
    <t>Distância média de transporte da areia</t>
  </si>
  <si>
    <t xml:space="preserve"> 4915637 </t>
  </si>
  <si>
    <t>M0028</t>
  </si>
  <si>
    <t>Quantidade por modulo =&gt;</t>
  </si>
  <si>
    <t>Transporte com caminhão basculante de 14 m³ - rodovia em revestimento primário (brita e areia)</t>
  </si>
  <si>
    <t>Transporte com caminhão basculante de 14 m³ - rodovia pavimentada (brita e areia)</t>
  </si>
  <si>
    <t>TRANSPORTE</t>
  </si>
  <si>
    <t>INFRAESTRUTURA BASE, SUB-BASE E REFORÇO</t>
  </si>
  <si>
    <t xml:space="preserve">PROJETO EXECUTIVO </t>
  </si>
  <si>
    <t>CURVA ABC DOS SERVIÇOS DE EXECUÇÃO DO TSD - LOTE 01</t>
  </si>
  <si>
    <t>Volume da camada de Sub-base: 14.000m² x 0,20m = 2.800m²</t>
  </si>
  <si>
    <t>Volume da camada da Base: 14.000m² x 0,20m = 2.800m²</t>
  </si>
  <si>
    <t>ÁREA TOTAL =&gt;</t>
  </si>
  <si>
    <t>ÁREA DO TSD =&gt;</t>
  </si>
  <si>
    <t>Distância média de transporte da brita</t>
  </si>
  <si>
    <t>Laboratório de Concreto</t>
  </si>
  <si>
    <t>Banco: ANP - 09/2023</t>
  </si>
  <si>
    <t>SINAPI - 09/2023 - Bahia
SICRO3 - 07/2023 - Bahia
ORSE - 09/2023 - Sergipe</t>
  </si>
  <si>
    <t>Meio-fio de concreto - MFC 03 - areia e brita comerciais - fôrma de madeira</t>
  </si>
  <si>
    <t>Transporte com caminhão basculante de 14 m³ - rodovia pavimentada (solo+brita)</t>
  </si>
  <si>
    <t>Transporte com caminhão basculante de 14 m³ - rodovia em revestimento primário (solo+brita)</t>
  </si>
  <si>
    <t>Considerado 01 placa a cada 200 m =&gt;</t>
  </si>
  <si>
    <t>Estimativa por modulo (considerar 01 placa a cada 200 m)</t>
  </si>
  <si>
    <t>Área da Pav em TSD =&gt; Via com 6,60m (largura( 7m - 0,13 *2 m de cada sarjeta)) x 2.000m (extensão) = &gt;</t>
  </si>
  <si>
    <t>Obs.: CAVALO MECÂNICO COM SEMI-REBOQUE E CAPACIDADE DE 30 T - 240 KW (E9666) + ESCOLTA VEÍCULO LEVE (E9512).</t>
  </si>
  <si>
    <t>Mobilização e Desmobilização - Total (km)</t>
  </si>
  <si>
    <t>B.D.I. Serviço:</t>
  </si>
  <si>
    <t>B.D.I. Material:</t>
  </si>
  <si>
    <t>Carga, manobra e descarga de agregados ou solos em caminhão basculante de 6 m³ - carga com carregadeira de 1,72 m³(exclusa) e descarga em distribuidor rebocável</t>
  </si>
  <si>
    <t xml:space="preserve"> 2003373 </t>
  </si>
  <si>
    <t>Enchimento de junta de concreto com argamassa asfáltica de densidade 1.700 kg/m³ - espessura de 1 cm</t>
  </si>
  <si>
    <t>Fôrmas de tábuas de pinho para dispositivos de drenagem - utilização de 3 vezes - confecção, instalação e retirada</t>
  </si>
  <si>
    <t>Reaterro e compactação com soquete vibratório atrás do meio fio para suporte</t>
  </si>
  <si>
    <t>Carga, manobra e descarga de materiais diversos em caminhão carroceria de 15 t - carga e descarga manuais</t>
  </si>
  <si>
    <t>Arco de serra un</t>
  </si>
  <si>
    <t>PODA DE ÁRVORE _ SBC 201026</t>
  </si>
  <si>
    <t xml:space="preserve"> 5914333 </t>
  </si>
  <si>
    <t>Carga, manobra e descarga de materiais diversos em caminhão carroceria de 15 t - carga e descarga com caminhãoguindauto de 20 t.m</t>
  </si>
  <si>
    <t>E9686</t>
  </si>
  <si>
    <t>Caminhão carroceria com guindauto com capacidade de 20 t.m - 136 kW</t>
  </si>
  <si>
    <t xml:space="preserve"> 5914655 </t>
  </si>
  <si>
    <t xml:space="preserve"> 2003842 </t>
  </si>
  <si>
    <t>M2158</t>
  </si>
  <si>
    <t>Argamassa asfáltica</t>
  </si>
  <si>
    <t xml:space="preserve"> 3103302 </t>
  </si>
  <si>
    <t>E9066</t>
  </si>
  <si>
    <t>Grupo gerador - 14 kVA</t>
  </si>
  <si>
    <t>E9535</t>
  </si>
  <si>
    <t>Serra circular com bancada - D = 30 cm - 4 kW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</si>
  <si>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</si>
  <si>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</si>
  <si>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</si>
  <si>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</si>
  <si>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</si>
  <si>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</si>
  <si>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</si>
  <si>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</si>
  <si>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 xml:space="preserve"> 3.1 </t>
  </si>
  <si>
    <t>T</t>
  </si>
  <si>
    <t>Considerado 40% das áreas</t>
  </si>
  <si>
    <t>sc</t>
  </si>
  <si>
    <t>sin</t>
  </si>
  <si>
    <t>dre</t>
  </si>
  <si>
    <t>ter</t>
  </si>
  <si>
    <t>transp</t>
  </si>
  <si>
    <t>proj</t>
  </si>
  <si>
    <t>sp</t>
  </si>
  <si>
    <t>infra</t>
  </si>
  <si>
    <t>pav</t>
  </si>
  <si>
    <t>CPU 02</t>
  </si>
  <si>
    <t>CPU 03</t>
  </si>
  <si>
    <t>CPU 04</t>
  </si>
  <si>
    <t xml:space="preserve"> 3.2 </t>
  </si>
  <si>
    <t xml:space="preserve">3.3 </t>
  </si>
  <si>
    <t xml:space="preserve">3.4 </t>
  </si>
  <si>
    <t xml:space="preserve">3.5 </t>
  </si>
  <si>
    <t xml:space="preserve">3.6 </t>
  </si>
  <si>
    <t xml:space="preserve">4.1.1 </t>
  </si>
  <si>
    <t xml:space="preserve">4.1.2 </t>
  </si>
  <si>
    <t xml:space="preserve">4.1.3 </t>
  </si>
  <si>
    <t xml:space="preserve">4.2.1 </t>
  </si>
  <si>
    <t xml:space="preserve">4.2.2 </t>
  </si>
  <si>
    <t xml:space="preserve">4.2.3 </t>
  </si>
  <si>
    <t xml:space="preserve">4.2.4 </t>
  </si>
  <si>
    <t xml:space="preserve">4.3.1 </t>
  </si>
  <si>
    <t xml:space="preserve">4.3.2 </t>
  </si>
  <si>
    <t xml:space="preserve">4.3.3 </t>
  </si>
  <si>
    <t xml:space="preserve">5.1 </t>
  </si>
  <si>
    <t xml:space="preserve">5.2 </t>
  </si>
  <si>
    <t xml:space="preserve">6.1 </t>
  </si>
  <si>
    <t xml:space="preserve">6.2 </t>
  </si>
  <si>
    <t xml:space="preserve">6.3 </t>
  </si>
  <si>
    <t xml:space="preserve">7.1 </t>
  </si>
  <si>
    <t xml:space="preserve">7.2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</si>
</sst>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-&quot;R$&quot;\ * #,##0.00000_-;\-&quot;R$&quot;\ * #,##0.00000_-;_-&quot;R$&quot;\ * &quot;-&quot;??_-;_-@_-"/>
    <numFmt numFmtId="166" formatCode="_-&quot;R$&quot;* #,##0.00_-;\-&quot;R$&quot;* #,##0.00_-;_-&quot;R$&quot;* &quot;-&quot;??_-;_-@_-"/>
    <numFmt numFmtId="167" formatCode="_-* #,##0.0000000_-;\-* #,##0.0000000_-;_-* &quot;-&quot;??_-;_-@_-"/>
    <numFmt numFmtId="168" formatCode="_(* #,##0.00_);_(* \(#,##0.00\);_(* &quot;-&quot;??_);_(@_)"/>
    <numFmt numFmtId="169" formatCode="_-* #,##0_-;\-* #,##0_-;_-* &quot;-&quot;??_-;_-@_-"/>
    <numFmt numFmtId="170" formatCode="_-&quot;R$&quot;\ * #,##0.0000_-;\-&quot;R$&quot;\ * #,##0.0000_-;_-&quot;R$&quot;\ * &quot;-&quot;??_-;_-@_-"/>
    <numFmt numFmtId="171" formatCode="_-* #,##0.000_-;\-* #,##0.000_-;_-* &quot;-&quot;??_-;_-@_-"/>
    <numFmt numFmtId="172" formatCode="_-* #,##0.000000_-;\-* #,##0.000000_-;_-* &quot;-&quot;??_-;_-@_-"/>
    <numFmt numFmtId="173" formatCode="_-* #,##0.00000_-;\-* #,##0.00000_-;_-* &quot;-&quot;??_-;_-@_-"/>
    <numFmt numFmtId="174" formatCode="_-* #,##0.000000_-;\-* #,##0.000000_-;_-* &quot;-&quot;??????_-;_-@_-"/>
    <numFmt numFmtId="175" formatCode="#,##0.00000000"/>
    <numFmt numFmtId="176" formatCode="#,##0.0000000"/>
    <numFmt numFmtId="177" formatCode="#,##0.0000"/>
    <numFmt numFmtId="178" formatCode="0.00000000"/>
    <numFmt numFmtId="179" formatCode="_-* #,##0.00_-;\-* #,##0.00_-;_-* \-??_-;_-@_-"/>
    <numFmt numFmtId="180" formatCode="&quot;R$&quot;\ #,##0.00"/>
    <numFmt numFmtId="181" formatCode="_-* #,##0.000000000_-;\-* #,##0.000000000_-;_-* \-??_-;_-@_-"/>
    <numFmt numFmtId="182" formatCode="0.0000"/>
    <numFmt numFmtId="183" formatCode="&quot;R$&quot;\ #,##0.0000"/>
    <numFmt numFmtId="184" formatCode="_-* #,##0.0000_-;\-* #,##0.0000_-;_-* &quot;-&quot;??_-;_-@_-"/>
    <numFmt numFmtId="185" formatCode="0.0000%"/>
    <numFmt numFmtId="186" formatCode="0.00000"/>
    <numFmt numFmtId="187" formatCode="_-&quot;R$&quot;\ * #,##0.000000_-;\-&quot;R$&quot;\ * #,##0.000000_-;_-&quot;R$&quot;\ * &quot;-&quot;??_-;_-@_-"/>
  </numFmts>
  <fonts count="54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Arial"/>
      <family val="1"/>
    </font>
    <font>
      <sz val="11"/>
      <color theme="1"/>
      <name val="Arial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Arial"/>
      <family val="1"/>
    </font>
    <font>
      <b/>
      <sz val="11"/>
      <name val="Arial"/>
      <family val="2"/>
    </font>
    <font>
      <sz val="8"/>
      <name val="Arial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8"/>
      <color theme="1"/>
      <name val="Arial"/>
      <family val="2"/>
    </font>
    <font>
      <sz val="10"/>
      <color rgb="FF000000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9D9DF"/>
        <bgColor rgb="FFDAE3F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</fills>
  <borders count="9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/>
      <top style="medium">
        <color indexed="64"/>
      </top>
      <bottom style="hair">
        <color auto="1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</borders>
  <cellStyleXfs count="19">
    <xf numFmtId="0" fontId="0" fillId="0" borderId="0"/>
    <xf numFmtId="0" fontId="11" fillId="0" borderId="0"/>
    <xf numFmtId="0" fontId="11" fillId="0" borderId="0"/>
    <xf numFmtId="0" fontId="5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1" fillId="0" borderId="0"/>
    <xf numFmtId="44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6" fillId="0" borderId="0"/>
    <xf numFmtId="179" fontId="36" fillId="0" borderId="0" applyBorder="0" applyProtection="0"/>
    <xf numFmtId="0" fontId="2" fillId="0" borderId="0"/>
    <xf numFmtId="44" fontId="2" fillId="0" borderId="0" applyFont="0" applyFill="0" applyBorder="0" applyAlignment="0" applyProtection="0"/>
    <xf numFmtId="0" fontId="45" fillId="0" borderId="0"/>
    <xf numFmtId="0" fontId="1" fillId="0" borderId="0"/>
    <xf numFmtId="44" fontId="1" fillId="0" borderId="0" applyFont="0" applyFill="0" applyBorder="0" applyAlignment="0" applyProtection="0"/>
  </cellStyleXfs>
  <cellXfs count="558">
    <xf numFmtId="0" fontId="0" fillId="0" borderId="0" xfId="0"/>
    <xf numFmtId="0" fontId="14" fillId="0" borderId="11" xfId="1" applyFont="1" applyBorder="1"/>
    <xf numFmtId="0" fontId="14" fillId="0" borderId="12" xfId="1" applyFont="1" applyBorder="1"/>
    <xf numFmtId="0" fontId="14" fillId="0" borderId="0" xfId="1" applyFont="1"/>
    <xf numFmtId="0" fontId="16" fillId="0" borderId="13" xfId="1" applyFont="1" applyBorder="1" applyAlignment="1">
      <alignment horizontal="left" vertical="top"/>
    </xf>
    <xf numFmtId="0" fontId="16" fillId="0" borderId="0" xfId="1" applyFont="1" applyAlignment="1">
      <alignment vertical="top" wrapText="1"/>
    </xf>
    <xf numFmtId="0" fontId="16" fillId="0" borderId="0" xfId="1" applyFont="1"/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2" applyFont="1"/>
    <xf numFmtId="0" fontId="17" fillId="0" borderId="17" xfId="2" applyFont="1" applyBorder="1"/>
    <xf numFmtId="0" fontId="16" fillId="0" borderId="13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6" fillId="0" borderId="17" xfId="1" applyFont="1" applyBorder="1" applyAlignment="1">
      <alignment horizontal="center"/>
    </xf>
    <xf numFmtId="0" fontId="18" fillId="0" borderId="19" xfId="2" applyFont="1" applyBorder="1"/>
    <xf numFmtId="2" fontId="19" fillId="0" borderId="19" xfId="2" applyNumberFormat="1" applyFont="1" applyBorder="1"/>
    <xf numFmtId="0" fontId="11" fillId="0" borderId="19" xfId="2" applyBorder="1"/>
    <xf numFmtId="0" fontId="11" fillId="0" borderId="20" xfId="2" applyBorder="1"/>
    <xf numFmtId="0" fontId="11" fillId="0" borderId="0" xfId="2"/>
    <xf numFmtId="0" fontId="11" fillId="0" borderId="17" xfId="2" applyBorder="1"/>
    <xf numFmtId="0" fontId="18" fillId="0" borderId="0" xfId="2" applyFont="1"/>
    <xf numFmtId="2" fontId="19" fillId="0" borderId="0" xfId="2" applyNumberFormat="1" applyFont="1"/>
    <xf numFmtId="164" fontId="19" fillId="0" borderId="0" xfId="2" applyNumberFormat="1" applyFont="1"/>
    <xf numFmtId="0" fontId="11" fillId="0" borderId="13" xfId="2" applyBorder="1"/>
    <xf numFmtId="4" fontId="11" fillId="0" borderId="0" xfId="2" applyNumberFormat="1"/>
    <xf numFmtId="0" fontId="11" fillId="0" borderId="21" xfId="2" applyBorder="1"/>
    <xf numFmtId="0" fontId="11" fillId="0" borderId="22" xfId="2" applyBorder="1"/>
    <xf numFmtId="0" fontId="19" fillId="0" borderId="0" xfId="2" applyFont="1"/>
    <xf numFmtId="0" fontId="11" fillId="0" borderId="23" xfId="2" applyBorder="1"/>
    <xf numFmtId="4" fontId="20" fillId="6" borderId="0" xfId="1" applyNumberFormat="1" applyFont="1" applyFill="1" applyAlignment="1">
      <alignment horizontal="center"/>
    </xf>
    <xf numFmtId="0" fontId="11" fillId="6" borderId="0" xfId="2" applyFill="1"/>
    <xf numFmtId="0" fontId="11" fillId="6" borderId="0" xfId="1" applyFill="1"/>
    <xf numFmtId="43" fontId="11" fillId="6" borderId="0" xfId="5" applyFont="1" applyFill="1" applyBorder="1"/>
    <xf numFmtId="0" fontId="11" fillId="6" borderId="17" xfId="1" applyFill="1" applyBorder="1"/>
    <xf numFmtId="0" fontId="14" fillId="0" borderId="24" xfId="1" applyFont="1" applyBorder="1"/>
    <xf numFmtId="0" fontId="14" fillId="0" borderId="25" xfId="1" applyFont="1" applyBorder="1"/>
    <xf numFmtId="0" fontId="14" fillId="0" borderId="26" xfId="1" applyFont="1" applyBorder="1"/>
    <xf numFmtId="0" fontId="13" fillId="7" borderId="0" xfId="0" applyFont="1" applyFill="1" applyAlignment="1">
      <alignment horizontal="center" vertical="top"/>
    </xf>
    <xf numFmtId="0" fontId="14" fillId="7" borderId="0" xfId="1" applyFont="1" applyFill="1"/>
    <xf numFmtId="0" fontId="13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21" fillId="7" borderId="0" xfId="0" applyFont="1" applyFill="1" applyAlignment="1">
      <alignment horizontal="center"/>
    </xf>
    <xf numFmtId="0" fontId="22" fillId="7" borderId="0" xfId="1" applyFont="1" applyFill="1"/>
    <xf numFmtId="0" fontId="23" fillId="0" borderId="0" xfId="1" applyFont="1"/>
    <xf numFmtId="0" fontId="24" fillId="0" borderId="0" xfId="2" applyFont="1"/>
    <xf numFmtId="0" fontId="25" fillId="0" borderId="0" xfId="2" applyFont="1"/>
    <xf numFmtId="0" fontId="24" fillId="0" borderId="0" xfId="2" applyFont="1" applyAlignment="1">
      <alignment wrapText="1"/>
    </xf>
    <xf numFmtId="0" fontId="26" fillId="0" borderId="0" xfId="2" applyFont="1"/>
    <xf numFmtId="0" fontId="27" fillId="0" borderId="0" xfId="2" applyFont="1" applyAlignment="1">
      <alignment wrapText="1"/>
    </xf>
    <xf numFmtId="0" fontId="26" fillId="0" borderId="0" xfId="2" applyFont="1" applyAlignment="1">
      <alignment wrapText="1"/>
    </xf>
    <xf numFmtId="0" fontId="29" fillId="8" borderId="0" xfId="2" applyFont="1" applyFill="1"/>
    <xf numFmtId="0" fontId="25" fillId="0" borderId="0" xfId="7" applyFont="1"/>
    <xf numFmtId="166" fontId="25" fillId="0" borderId="0" xfId="2" applyNumberFormat="1" applyFont="1"/>
    <xf numFmtId="0" fontId="25" fillId="0" borderId="31" xfId="2" applyFont="1" applyBorder="1"/>
    <xf numFmtId="0" fontId="25" fillId="0" borderId="32" xfId="7" applyFont="1" applyBorder="1"/>
    <xf numFmtId="0" fontId="25" fillId="0" borderId="32" xfId="2" applyFont="1" applyBorder="1"/>
    <xf numFmtId="0" fontId="25" fillId="0" borderId="33" xfId="2" applyFont="1" applyBorder="1"/>
    <xf numFmtId="0" fontId="25" fillId="0" borderId="28" xfId="2" applyFont="1" applyBorder="1"/>
    <xf numFmtId="0" fontId="25" fillId="0" borderId="29" xfId="2" applyFont="1" applyBorder="1"/>
    <xf numFmtId="0" fontId="28" fillId="0" borderId="0" xfId="7" applyFont="1"/>
    <xf numFmtId="0" fontId="30" fillId="0" borderId="0" xfId="2" applyFont="1" applyAlignment="1">
      <alignment horizontal="right"/>
    </xf>
    <xf numFmtId="0" fontId="30" fillId="0" borderId="0" xfId="7" applyFont="1" applyAlignment="1">
      <alignment horizontal="left" vertical="center"/>
    </xf>
    <xf numFmtId="0" fontId="24" fillId="0" borderId="28" xfId="2" applyFont="1" applyBorder="1"/>
    <xf numFmtId="0" fontId="24" fillId="0" borderId="0" xfId="7" applyFont="1"/>
    <xf numFmtId="0" fontId="24" fillId="0" borderId="29" xfId="2" applyFont="1" applyBorder="1"/>
    <xf numFmtId="168" fontId="26" fillId="0" borderId="0" xfId="9" applyNumberFormat="1" applyFont="1" applyBorder="1"/>
    <xf numFmtId="0" fontId="25" fillId="0" borderId="2" xfId="2" applyFont="1" applyBorder="1"/>
    <xf numFmtId="0" fontId="25" fillId="0" borderId="3" xfId="7" applyFont="1" applyBorder="1"/>
    <xf numFmtId="0" fontId="25" fillId="0" borderId="3" xfId="2" applyFont="1" applyBorder="1"/>
    <xf numFmtId="0" fontId="25" fillId="0" borderId="30" xfId="2" applyFont="1" applyBorder="1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44" fontId="7" fillId="2" borderId="1" xfId="6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8" fillId="3" borderId="1" xfId="6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44" fontId="8" fillId="5" borderId="1" xfId="6" applyFont="1" applyFill="1" applyBorder="1" applyAlignment="1">
      <alignment horizontal="right" vertical="center" wrapText="1"/>
    </xf>
    <xf numFmtId="44" fontId="0" fillId="0" borderId="0" xfId="0" applyNumberFormat="1" applyAlignment="1">
      <alignment vertical="center"/>
    </xf>
    <xf numFmtId="43" fontId="0" fillId="0" borderId="0" xfId="5" applyFont="1" applyAlignment="1">
      <alignment vertical="center"/>
    </xf>
    <xf numFmtId="43" fontId="0" fillId="0" borderId="0" xfId="0" applyNumberFormat="1" applyAlignment="1">
      <alignment vertical="center"/>
    </xf>
    <xf numFmtId="169" fontId="0" fillId="0" borderId="0" xfId="5" applyNumberFormat="1" applyFont="1" applyAlignment="1">
      <alignment vertical="center"/>
    </xf>
    <xf numFmtId="169" fontId="0" fillId="0" borderId="0" xfId="0" applyNumberFormat="1" applyAlignment="1">
      <alignment vertical="center"/>
    </xf>
    <xf numFmtId="0" fontId="9" fillId="4" borderId="0" xfId="0" applyFont="1" applyFill="1" applyAlignment="1">
      <alignment horizontal="center" vertical="center" wrapText="1"/>
    </xf>
    <xf numFmtId="171" fontId="19" fillId="0" borderId="0" xfId="5" applyNumberFormat="1" applyFont="1" applyAlignment="1">
      <alignment horizontal="center" vertical="center"/>
    </xf>
    <xf numFmtId="0" fontId="0" fillId="10" borderId="0" xfId="0" applyFill="1"/>
    <xf numFmtId="44" fontId="0" fillId="10" borderId="0" xfId="0" applyNumberFormat="1" applyFill="1"/>
    <xf numFmtId="43" fontId="0" fillId="10" borderId="0" xfId="5" applyFont="1" applyFill="1" applyBorder="1"/>
    <xf numFmtId="43" fontId="0" fillId="0" borderId="0" xfId="0" applyNumberFormat="1"/>
    <xf numFmtId="0" fontId="0" fillId="10" borderId="25" xfId="0" applyFill="1" applyBorder="1"/>
    <xf numFmtId="170" fontId="0" fillId="10" borderId="25" xfId="0" applyNumberFormat="1" applyFill="1" applyBorder="1"/>
    <xf numFmtId="43" fontId="8" fillId="3" borderId="1" xfId="5" applyFont="1" applyFill="1" applyBorder="1" applyAlignment="1">
      <alignment horizontal="right" vertical="center" wrapText="1"/>
    </xf>
    <xf numFmtId="43" fontId="7" fillId="2" borderId="1" xfId="5" applyFont="1" applyFill="1" applyBorder="1" applyAlignment="1">
      <alignment horizontal="right" vertical="center" wrapText="1"/>
    </xf>
    <xf numFmtId="43" fontId="8" fillId="5" borderId="1" xfId="5" applyFont="1" applyFill="1" applyBorder="1" applyAlignment="1">
      <alignment horizontal="right" vertical="center" wrapText="1"/>
    </xf>
    <xf numFmtId="172" fontId="0" fillId="0" borderId="0" xfId="5" applyNumberFormat="1" applyFont="1" applyBorder="1"/>
    <xf numFmtId="172" fontId="0" fillId="0" borderId="0" xfId="0" applyNumberFormat="1"/>
    <xf numFmtId="174" fontId="0" fillId="0" borderId="0" xfId="0" applyNumberFormat="1"/>
    <xf numFmtId="175" fontId="14" fillId="7" borderId="0" xfId="1" applyNumberFormat="1" applyFont="1" applyFill="1"/>
    <xf numFmtId="0" fontId="18" fillId="0" borderId="0" xfId="2" applyFont="1" applyAlignment="1">
      <alignment vertical="center"/>
    </xf>
    <xf numFmtId="164" fontId="19" fillId="0" borderId="0" xfId="2" applyNumberFormat="1" applyFont="1" applyAlignment="1">
      <alignment vertical="center"/>
    </xf>
    <xf numFmtId="0" fontId="32" fillId="4" borderId="2" xfId="0" applyFont="1" applyFill="1" applyBorder="1" applyAlignment="1">
      <alignment horizontal="left" vertical="center" wrapText="1"/>
    </xf>
    <xf numFmtId="0" fontId="29" fillId="0" borderId="34" xfId="2" applyFont="1" applyBorder="1" applyAlignment="1">
      <alignment horizontal="center"/>
    </xf>
    <xf numFmtId="0" fontId="30" fillId="0" borderId="36" xfId="2" applyFont="1" applyBorder="1" applyAlignment="1">
      <alignment horizontal="center"/>
    </xf>
    <xf numFmtId="0" fontId="31" fillId="0" borderId="36" xfId="2" applyFont="1" applyBorder="1" applyAlignment="1">
      <alignment horizontal="center"/>
    </xf>
    <xf numFmtId="0" fontId="31" fillId="0" borderId="37" xfId="2" applyFont="1" applyBorder="1" applyAlignment="1">
      <alignment horizontal="center"/>
    </xf>
    <xf numFmtId="0" fontId="24" fillId="0" borderId="34" xfId="2" applyFont="1" applyBorder="1" applyAlignment="1">
      <alignment horizontal="center"/>
    </xf>
    <xf numFmtId="0" fontId="25" fillId="0" borderId="36" xfId="2" applyFont="1" applyBorder="1" applyAlignment="1">
      <alignment horizontal="center"/>
    </xf>
    <xf numFmtId="165" fontId="26" fillId="0" borderId="36" xfId="8" applyNumberFormat="1" applyFont="1" applyBorder="1" applyAlignment="1">
      <alignment horizontal="center"/>
    </xf>
    <xf numFmtId="44" fontId="26" fillId="0" borderId="36" xfId="8" applyFont="1" applyBorder="1" applyAlignment="1">
      <alignment horizontal="center"/>
    </xf>
    <xf numFmtId="44" fontId="26" fillId="0" borderId="37" xfId="8" applyFont="1" applyBorder="1" applyAlignment="1"/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3" fillId="4" borderId="38" xfId="0" applyFont="1" applyFill="1" applyBorder="1" applyAlignment="1">
      <alignment horizontal="center" vertical="center" wrapText="1"/>
    </xf>
    <xf numFmtId="0" fontId="33" fillId="4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right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43" fontId="8" fillId="3" borderId="9" xfId="5" applyFont="1" applyFill="1" applyBorder="1" applyAlignment="1">
      <alignment horizontal="right" vertical="center" wrapText="1"/>
    </xf>
    <xf numFmtId="44" fontId="8" fillId="3" borderId="9" xfId="6" applyFont="1" applyFill="1" applyBorder="1" applyAlignment="1">
      <alignment horizontal="right" vertical="center" wrapText="1"/>
    </xf>
    <xf numFmtId="0" fontId="8" fillId="3" borderId="45" xfId="0" applyFont="1" applyFill="1" applyBorder="1" applyAlignment="1">
      <alignment horizontal="left" vertical="center" wrapText="1"/>
    </xf>
    <xf numFmtId="0" fontId="8" fillId="3" borderId="45" xfId="0" applyFont="1" applyFill="1" applyBorder="1" applyAlignment="1">
      <alignment horizontal="center" vertical="center" wrapText="1"/>
    </xf>
    <xf numFmtId="43" fontId="8" fillId="3" borderId="46" xfId="5" applyFont="1" applyFill="1" applyBorder="1" applyAlignment="1">
      <alignment horizontal="right" vertical="center" wrapText="1"/>
    </xf>
    <xf numFmtId="0" fontId="8" fillId="0" borderId="45" xfId="0" applyFont="1" applyBorder="1" applyAlignment="1">
      <alignment horizontal="center" vertical="center" wrapText="1"/>
    </xf>
    <xf numFmtId="43" fontId="8" fillId="0" borderId="46" xfId="5" applyFont="1" applyFill="1" applyBorder="1" applyAlignment="1">
      <alignment horizontal="right" vertical="center" wrapText="1"/>
    </xf>
    <xf numFmtId="43" fontId="8" fillId="0" borderId="46" xfId="5" applyFont="1" applyBorder="1" applyAlignment="1">
      <alignment horizontal="right" vertical="center" wrapText="1"/>
    </xf>
    <xf numFmtId="44" fontId="7" fillId="2" borderId="42" xfId="6" applyFont="1" applyFill="1" applyBorder="1" applyAlignment="1">
      <alignment horizontal="right" vertical="center" wrapText="1"/>
    </xf>
    <xf numFmtId="44" fontId="7" fillId="2" borderId="8" xfId="6" applyFont="1" applyFill="1" applyBorder="1" applyAlignment="1">
      <alignment horizontal="right" vertical="center" wrapText="1"/>
    </xf>
    <xf numFmtId="44" fontId="8" fillId="3" borderId="8" xfId="6" applyFont="1" applyFill="1" applyBorder="1" applyAlignment="1">
      <alignment horizontal="right" vertical="center" wrapText="1"/>
    </xf>
    <xf numFmtId="44" fontId="8" fillId="5" borderId="8" xfId="6" applyFont="1" applyFill="1" applyBorder="1" applyAlignment="1">
      <alignment horizontal="right" vertical="center" wrapText="1"/>
    </xf>
    <xf numFmtId="44" fontId="8" fillId="3" borderId="10" xfId="6" applyFont="1" applyFill="1" applyBorder="1" applyAlignment="1">
      <alignment horizontal="right" vertical="center" wrapText="1"/>
    </xf>
    <xf numFmtId="0" fontId="6" fillId="4" borderId="0" xfId="0" applyFont="1" applyFill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righ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righ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176" fontId="8" fillId="3" borderId="1" xfId="0" applyNumberFormat="1" applyFont="1" applyFill="1" applyBorder="1" applyAlignment="1">
      <alignment horizontal="right" vertical="top" wrapText="1"/>
    </xf>
    <xf numFmtId="0" fontId="8" fillId="3" borderId="35" xfId="0" applyFont="1" applyFill="1" applyBorder="1" applyAlignment="1">
      <alignment horizontal="left" vertical="top" wrapText="1"/>
    </xf>
    <xf numFmtId="0" fontId="9" fillId="11" borderId="1" xfId="0" applyFont="1" applyFill="1" applyBorder="1" applyAlignment="1">
      <alignment horizontal="left" vertical="top" wrapText="1"/>
    </xf>
    <xf numFmtId="0" fontId="9" fillId="11" borderId="1" xfId="0" applyFont="1" applyFill="1" applyBorder="1" applyAlignment="1">
      <alignment horizontal="center" vertical="top" wrapText="1"/>
    </xf>
    <xf numFmtId="0" fontId="9" fillId="11" borderId="1" xfId="0" applyFont="1" applyFill="1" applyBorder="1" applyAlignment="1">
      <alignment horizontal="right" vertical="top" wrapText="1"/>
    </xf>
    <xf numFmtId="4" fontId="9" fillId="11" borderId="1" xfId="0" applyNumberFormat="1" applyFont="1" applyFill="1" applyBorder="1" applyAlignment="1">
      <alignment horizontal="right" vertical="top" wrapText="1"/>
    </xf>
    <xf numFmtId="176" fontId="9" fillId="11" borderId="1" xfId="0" applyNumberFormat="1" applyFont="1" applyFill="1" applyBorder="1" applyAlignment="1">
      <alignment horizontal="right" vertical="top" wrapText="1"/>
    </xf>
    <xf numFmtId="0" fontId="9" fillId="12" borderId="1" xfId="0" applyFont="1" applyFill="1" applyBorder="1" applyAlignment="1">
      <alignment horizontal="left" vertical="top" wrapText="1"/>
    </xf>
    <xf numFmtId="0" fontId="9" fillId="12" borderId="1" xfId="0" applyFont="1" applyFill="1" applyBorder="1" applyAlignment="1">
      <alignment horizontal="center" vertical="top" wrapText="1"/>
    </xf>
    <xf numFmtId="0" fontId="9" fillId="12" borderId="1" xfId="0" applyFont="1" applyFill="1" applyBorder="1" applyAlignment="1">
      <alignment horizontal="right" vertical="top" wrapText="1"/>
    </xf>
    <xf numFmtId="4" fontId="9" fillId="12" borderId="1" xfId="0" applyNumberFormat="1" applyFont="1" applyFill="1" applyBorder="1" applyAlignment="1">
      <alignment horizontal="right" vertical="top" wrapText="1"/>
    </xf>
    <xf numFmtId="176" fontId="9" fillId="12" borderId="1" xfId="0" applyNumberFormat="1" applyFont="1" applyFill="1" applyBorder="1" applyAlignment="1">
      <alignment horizontal="right" vertical="top" wrapText="1"/>
    </xf>
    <xf numFmtId="0" fontId="32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center" vertical="top" wrapText="1"/>
    </xf>
    <xf numFmtId="0" fontId="9" fillId="4" borderId="0" xfId="0" applyFont="1" applyFill="1" applyAlignment="1">
      <alignment horizontal="right" vertical="top" wrapText="1"/>
    </xf>
    <xf numFmtId="4" fontId="9" fillId="4" borderId="0" xfId="0" applyNumberFormat="1" applyFont="1" applyFill="1" applyAlignment="1">
      <alignment horizontal="right" vertical="top" wrapText="1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32" fillId="4" borderId="30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right" vertical="top" wrapText="1"/>
    </xf>
    <xf numFmtId="0" fontId="6" fillId="4" borderId="52" xfId="0" applyFont="1" applyFill="1" applyBorder="1" applyAlignment="1">
      <alignment horizontal="right" vertical="top" wrapText="1"/>
    </xf>
    <xf numFmtId="10" fontId="7" fillId="2" borderId="41" xfId="4" applyNumberFormat="1" applyFont="1" applyFill="1" applyBorder="1" applyAlignment="1">
      <alignment horizontal="right" vertical="top" wrapText="1"/>
    </xf>
    <xf numFmtId="10" fontId="8" fillId="2" borderId="55" xfId="4" applyNumberFormat="1" applyFont="1" applyFill="1" applyBorder="1" applyAlignment="1">
      <alignment horizontal="right" vertical="top" wrapText="1"/>
    </xf>
    <xf numFmtId="10" fontId="8" fillId="2" borderId="56" xfId="4" applyNumberFormat="1" applyFont="1" applyFill="1" applyBorder="1" applyAlignment="1">
      <alignment horizontal="right" vertical="top" wrapText="1"/>
    </xf>
    <xf numFmtId="10" fontId="0" fillId="0" borderId="0" xfId="0" applyNumberFormat="1"/>
    <xf numFmtId="44" fontId="7" fillId="2" borderId="9" xfId="6" applyFont="1" applyFill="1" applyBorder="1" applyAlignment="1">
      <alignment horizontal="right" vertical="top" wrapText="1"/>
    </xf>
    <xf numFmtId="10" fontId="7" fillId="0" borderId="41" xfId="4" applyNumberFormat="1" applyFont="1" applyFill="1" applyBorder="1" applyAlignment="1">
      <alignment horizontal="right" vertical="top" wrapText="1"/>
    </xf>
    <xf numFmtId="10" fontId="8" fillId="0" borderId="55" xfId="4" applyNumberFormat="1" applyFont="1" applyFill="1" applyBorder="1" applyAlignment="1">
      <alignment horizontal="right" vertical="top" wrapText="1"/>
    </xf>
    <xf numFmtId="10" fontId="8" fillId="0" borderId="60" xfId="4" applyNumberFormat="1" applyFont="1" applyFill="1" applyBorder="1" applyAlignment="1">
      <alignment horizontal="right" vertical="top" wrapText="1"/>
    </xf>
    <xf numFmtId="10" fontId="8" fillId="0" borderId="61" xfId="4" applyNumberFormat="1" applyFont="1" applyFill="1" applyBorder="1" applyAlignment="1">
      <alignment horizontal="right" vertical="top" wrapText="1"/>
    </xf>
    <xf numFmtId="44" fontId="7" fillId="0" borderId="9" xfId="0" applyNumberFormat="1" applyFont="1" applyBorder="1" applyAlignment="1">
      <alignment horizontal="right" vertical="top" wrapText="1"/>
    </xf>
    <xf numFmtId="43" fontId="7" fillId="0" borderId="58" xfId="5" applyFont="1" applyFill="1" applyBorder="1" applyAlignment="1">
      <alignment horizontal="right" vertical="top" wrapText="1"/>
    </xf>
    <xf numFmtId="43" fontId="7" fillId="0" borderId="59" xfId="5" applyFont="1" applyFill="1" applyBorder="1" applyAlignment="1">
      <alignment horizontal="right" vertical="top" wrapText="1"/>
    </xf>
    <xf numFmtId="0" fontId="32" fillId="4" borderId="32" xfId="0" applyFont="1" applyFill="1" applyBorder="1" applyAlignment="1">
      <alignment horizontal="left" vertical="top" wrapText="1"/>
    </xf>
    <xf numFmtId="10" fontId="32" fillId="4" borderId="32" xfId="4" applyNumberFormat="1" applyFont="1" applyFill="1" applyBorder="1" applyAlignment="1">
      <alignment horizontal="right" vertical="top" wrapText="1"/>
    </xf>
    <xf numFmtId="10" fontId="32" fillId="4" borderId="33" xfId="4" applyNumberFormat="1" applyFont="1" applyFill="1" applyBorder="1" applyAlignment="1">
      <alignment horizontal="right" vertical="top" wrapText="1"/>
    </xf>
    <xf numFmtId="43" fontId="32" fillId="4" borderId="0" xfId="0" applyNumberFormat="1" applyFont="1" applyFill="1" applyAlignment="1">
      <alignment horizontal="right" vertical="top" wrapText="1"/>
    </xf>
    <xf numFmtId="43" fontId="32" fillId="4" borderId="29" xfId="0" applyNumberFormat="1" applyFont="1" applyFill="1" applyBorder="1" applyAlignment="1">
      <alignment horizontal="right" vertical="top" wrapText="1"/>
    </xf>
    <xf numFmtId="10" fontId="32" fillId="4" borderId="0" xfId="4" applyNumberFormat="1" applyFont="1" applyFill="1" applyBorder="1" applyAlignment="1">
      <alignment horizontal="right" vertical="top" wrapText="1"/>
    </xf>
    <xf numFmtId="10" fontId="32" fillId="4" borderId="29" xfId="4" applyNumberFormat="1" applyFont="1" applyFill="1" applyBorder="1" applyAlignment="1">
      <alignment horizontal="right" vertical="top" wrapText="1"/>
    </xf>
    <xf numFmtId="0" fontId="32" fillId="4" borderId="3" xfId="0" applyFont="1" applyFill="1" applyBorder="1" applyAlignment="1">
      <alignment horizontal="left" vertical="top" wrapText="1"/>
    </xf>
    <xf numFmtId="43" fontId="32" fillId="4" borderId="3" xfId="0" applyNumberFormat="1" applyFont="1" applyFill="1" applyBorder="1" applyAlignment="1">
      <alignment horizontal="right" vertical="top" wrapText="1"/>
    </xf>
    <xf numFmtId="43" fontId="32" fillId="4" borderId="30" xfId="0" applyNumberFormat="1" applyFont="1" applyFill="1" applyBorder="1" applyAlignment="1">
      <alignment horizontal="right" vertical="top" wrapText="1"/>
    </xf>
    <xf numFmtId="0" fontId="32" fillId="4" borderId="30" xfId="0" applyFont="1" applyFill="1" applyBorder="1" applyAlignment="1">
      <alignment horizontal="left" vertical="center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left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33" fillId="4" borderId="62" xfId="0" applyFont="1" applyFill="1" applyBorder="1" applyAlignment="1">
      <alignment horizontal="center" vertical="center" wrapText="1"/>
    </xf>
    <xf numFmtId="43" fontId="7" fillId="2" borderId="41" xfId="5" applyFont="1" applyFill="1" applyBorder="1" applyAlignment="1">
      <alignment horizontal="right" vertical="center" wrapText="1"/>
    </xf>
    <xf numFmtId="44" fontId="7" fillId="2" borderId="41" xfId="6" applyFont="1" applyFill="1" applyBorder="1" applyAlignment="1">
      <alignment horizontal="left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left" vertical="center" wrapText="1"/>
    </xf>
    <xf numFmtId="43" fontId="7" fillId="2" borderId="64" xfId="5" applyFont="1" applyFill="1" applyBorder="1" applyAlignment="1">
      <alignment horizontal="right" vertical="center" wrapText="1"/>
    </xf>
    <xf numFmtId="44" fontId="7" fillId="2" borderId="64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center" vertical="center" wrapText="1"/>
    </xf>
    <xf numFmtId="43" fontId="8" fillId="3" borderId="45" xfId="5" applyFont="1" applyFill="1" applyBorder="1" applyAlignment="1">
      <alignment horizontal="right" vertical="center" wrapText="1"/>
    </xf>
    <xf numFmtId="44" fontId="8" fillId="3" borderId="45" xfId="6" applyFont="1" applyFill="1" applyBorder="1" applyAlignment="1">
      <alignment horizontal="right" vertical="center" wrapText="1"/>
    </xf>
    <xf numFmtId="44" fontId="8" fillId="3" borderId="46" xfId="6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left" vertical="center" wrapText="1"/>
    </xf>
    <xf numFmtId="43" fontId="7" fillId="2" borderId="45" xfId="5" applyFont="1" applyFill="1" applyBorder="1" applyAlignment="1">
      <alignment horizontal="right" vertical="center" wrapText="1"/>
    </xf>
    <xf numFmtId="44" fontId="7" fillId="2" borderId="45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top" wrapText="1"/>
    </xf>
    <xf numFmtId="0" fontId="8" fillId="3" borderId="45" xfId="0" applyFont="1" applyFill="1" applyBorder="1" applyAlignment="1">
      <alignment horizontal="center" vertical="top" wrapText="1"/>
    </xf>
    <xf numFmtId="43" fontId="8" fillId="3" borderId="46" xfId="5" applyFont="1" applyFill="1" applyBorder="1" applyAlignment="1">
      <alignment horizontal="right" vertical="top" wrapText="1"/>
    </xf>
    <xf numFmtId="43" fontId="0" fillId="0" borderId="0" xfId="5" applyFont="1"/>
    <xf numFmtId="0" fontId="6" fillId="4" borderId="39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62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left" vertical="center" wrapText="1"/>
    </xf>
    <xf numFmtId="43" fontId="7" fillId="2" borderId="46" xfId="5" applyFont="1" applyFill="1" applyBorder="1" applyAlignment="1">
      <alignment horizontal="righ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7" fillId="2" borderId="46" xfId="0" applyFont="1" applyFill="1" applyBorder="1" applyAlignment="1">
      <alignment horizontal="right" vertical="center" wrapText="1"/>
    </xf>
    <xf numFmtId="43" fontId="9" fillId="0" borderId="46" xfId="5" applyFont="1" applyBorder="1" applyAlignment="1">
      <alignment horizontal="right" vertical="center" wrapText="1"/>
    </xf>
    <xf numFmtId="0" fontId="8" fillId="5" borderId="45" xfId="0" applyFont="1" applyFill="1" applyBorder="1" applyAlignment="1">
      <alignment horizontal="center" vertical="center" wrapText="1"/>
    </xf>
    <xf numFmtId="43" fontId="8" fillId="5" borderId="46" xfId="5" applyFont="1" applyFill="1" applyBorder="1" applyAlignment="1">
      <alignment horizontal="right" vertical="center" wrapText="1"/>
    </xf>
    <xf numFmtId="172" fontId="8" fillId="0" borderId="46" xfId="5" applyNumberFormat="1" applyFont="1" applyBorder="1" applyAlignment="1">
      <alignment horizontal="right" vertical="center" wrapText="1"/>
    </xf>
    <xf numFmtId="173" fontId="8" fillId="0" borderId="46" xfId="5" applyNumberFormat="1" applyFont="1" applyBorder="1" applyAlignment="1">
      <alignment horizontal="right" vertical="center" wrapText="1"/>
    </xf>
    <xf numFmtId="178" fontId="0" fillId="0" borderId="0" xfId="0" applyNumberFormat="1" applyAlignment="1">
      <alignment vertical="center"/>
    </xf>
    <xf numFmtId="0" fontId="36" fillId="0" borderId="25" xfId="12" applyBorder="1" applyAlignment="1">
      <alignment horizontal="center" vertical="center"/>
    </xf>
    <xf numFmtId="0" fontId="36" fillId="0" borderId="0" xfId="12" applyAlignment="1">
      <alignment vertical="center"/>
    </xf>
    <xf numFmtId="0" fontId="36" fillId="0" borderId="13" xfId="12" applyBorder="1" applyAlignment="1">
      <alignment vertical="center"/>
    </xf>
    <xf numFmtId="0" fontId="36" fillId="0" borderId="0" xfId="12" applyAlignment="1">
      <alignment horizontal="center" vertical="center"/>
    </xf>
    <xf numFmtId="179" fontId="0" fillId="0" borderId="0" xfId="13" applyFont="1" applyBorder="1" applyAlignment="1" applyProtection="1">
      <alignment horizontal="center" vertical="center"/>
    </xf>
    <xf numFmtId="179" fontId="0" fillId="0" borderId="17" xfId="13" applyFont="1" applyBorder="1" applyAlignment="1" applyProtection="1">
      <alignment vertical="center"/>
    </xf>
    <xf numFmtId="0" fontId="35" fillId="0" borderId="0" xfId="14" applyFont="1" applyAlignment="1">
      <alignment horizontal="center" vertical="center"/>
    </xf>
    <xf numFmtId="179" fontId="35" fillId="0" borderId="0" xfId="13" applyFont="1" applyBorder="1" applyAlignment="1" applyProtection="1">
      <alignment horizontal="center" vertical="center"/>
    </xf>
    <xf numFmtId="179" fontId="35" fillId="0" borderId="17" xfId="13" applyFont="1" applyBorder="1" applyAlignment="1" applyProtection="1">
      <alignment vertical="center"/>
    </xf>
    <xf numFmtId="0" fontId="36" fillId="14" borderId="13" xfId="12" applyFill="1" applyBorder="1" applyAlignment="1">
      <alignment vertical="center"/>
    </xf>
    <xf numFmtId="0" fontId="36" fillId="14" borderId="0" xfId="12" applyFill="1" applyAlignment="1">
      <alignment vertical="center"/>
    </xf>
    <xf numFmtId="0" fontId="36" fillId="14" borderId="0" xfId="12" applyFill="1" applyAlignment="1">
      <alignment horizontal="center" vertical="center"/>
    </xf>
    <xf numFmtId="179" fontId="0" fillId="14" borderId="0" xfId="13" applyFont="1" applyFill="1" applyBorder="1" applyAlignment="1" applyProtection="1">
      <alignment horizontal="center" vertical="center"/>
    </xf>
    <xf numFmtId="44" fontId="39" fillId="14" borderId="17" xfId="13" applyNumberFormat="1" applyFont="1" applyFill="1" applyBorder="1" applyAlignment="1" applyProtection="1">
      <alignment horizontal="right"/>
    </xf>
    <xf numFmtId="0" fontId="36" fillId="10" borderId="0" xfId="12" applyFill="1" applyAlignment="1">
      <alignment vertical="center"/>
    </xf>
    <xf numFmtId="0" fontId="40" fillId="10" borderId="0" xfId="12" applyFont="1" applyFill="1" applyAlignment="1">
      <alignment horizontal="center" vertical="center"/>
    </xf>
    <xf numFmtId="179" fontId="0" fillId="10" borderId="0" xfId="13" applyFont="1" applyFill="1" applyBorder="1" applyAlignment="1" applyProtection="1">
      <alignment horizontal="center" vertical="center"/>
    </xf>
    <xf numFmtId="44" fontId="38" fillId="10" borderId="17" xfId="13" applyNumberFormat="1" applyFont="1" applyFill="1" applyBorder="1" applyAlignment="1" applyProtection="1">
      <alignment horizontal="right"/>
    </xf>
    <xf numFmtId="0" fontId="36" fillId="0" borderId="0" xfId="12" applyAlignment="1">
      <alignment horizontal="center"/>
    </xf>
    <xf numFmtId="1" fontId="36" fillId="0" borderId="0" xfId="12" applyNumberFormat="1" applyAlignment="1">
      <alignment horizontal="center" vertical="center"/>
    </xf>
    <xf numFmtId="7" fontId="0" fillId="7" borderId="0" xfId="15" applyNumberFormat="1" applyFont="1" applyFill="1" applyBorder="1" applyAlignment="1" applyProtection="1">
      <alignment horizontal="center" vertical="center"/>
    </xf>
    <xf numFmtId="44" fontId="38" fillId="0" borderId="17" xfId="13" applyNumberFormat="1" applyFont="1" applyBorder="1" applyAlignment="1" applyProtection="1">
      <alignment horizontal="right"/>
    </xf>
    <xf numFmtId="43" fontId="36" fillId="0" borderId="0" xfId="12" applyNumberFormat="1" applyAlignment="1">
      <alignment vertical="center"/>
    </xf>
    <xf numFmtId="0" fontId="36" fillId="10" borderId="0" xfId="12" applyFill="1" applyAlignment="1">
      <alignment horizontal="center"/>
    </xf>
    <xf numFmtId="180" fontId="0" fillId="10" borderId="0" xfId="13" applyNumberFormat="1" applyFont="1" applyFill="1" applyBorder="1" applyAlignment="1" applyProtection="1">
      <alignment horizontal="center" vertical="center"/>
    </xf>
    <xf numFmtId="1" fontId="36" fillId="0" borderId="0" xfId="12" applyNumberFormat="1" applyAlignment="1">
      <alignment horizontal="center"/>
    </xf>
    <xf numFmtId="180" fontId="36" fillId="0" borderId="0" xfId="12" applyNumberFormat="1" applyAlignment="1">
      <alignment vertical="center"/>
    </xf>
    <xf numFmtId="180" fontId="0" fillId="14" borderId="0" xfId="13" applyNumberFormat="1" applyFont="1" applyFill="1" applyBorder="1" applyAlignment="1" applyProtection="1">
      <alignment horizontal="center" vertical="center"/>
    </xf>
    <xf numFmtId="44" fontId="41" fillId="14" borderId="17" xfId="13" applyNumberFormat="1" applyFont="1" applyFill="1" applyBorder="1" applyAlignment="1" applyProtection="1">
      <alignment horizontal="right"/>
    </xf>
    <xf numFmtId="180" fontId="0" fillId="0" borderId="0" xfId="13" applyNumberFormat="1" applyFont="1" applyBorder="1" applyAlignment="1" applyProtection="1">
      <alignment horizontal="center" vertical="center"/>
    </xf>
    <xf numFmtId="0" fontId="36" fillId="14" borderId="0" xfId="12" applyFill="1" applyAlignment="1">
      <alignment horizontal="left" vertical="center"/>
    </xf>
    <xf numFmtId="44" fontId="36" fillId="0" borderId="0" xfId="12" applyNumberFormat="1" applyAlignment="1">
      <alignment vertical="center"/>
    </xf>
    <xf numFmtId="0" fontId="36" fillId="0" borderId="13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10" fontId="36" fillId="0" borderId="0" xfId="12" applyNumberFormat="1" applyAlignment="1">
      <alignment horizontal="center" vertical="center"/>
    </xf>
    <xf numFmtId="0" fontId="36" fillId="0" borderId="0" xfId="12" applyAlignment="1">
      <alignment horizontal="left" vertical="center" wrapText="1"/>
    </xf>
    <xf numFmtId="44" fontId="38" fillId="0" borderId="17" xfId="13" applyNumberFormat="1" applyFont="1" applyBorder="1" applyAlignment="1" applyProtection="1">
      <alignment horizontal="right" vertical="center"/>
    </xf>
    <xf numFmtId="7" fontId="12" fillId="7" borderId="0" xfId="15" applyNumberFormat="1" applyFont="1" applyFill="1" applyBorder="1" applyAlignment="1" applyProtection="1">
      <alignment horizontal="center" vertical="center"/>
    </xf>
    <xf numFmtId="0" fontId="36" fillId="0" borderId="0" xfId="12" applyAlignment="1">
      <alignment vertical="center" wrapText="1"/>
    </xf>
    <xf numFmtId="180" fontId="0" fillId="14" borderId="0" xfId="13" applyNumberFormat="1" applyFont="1" applyFill="1" applyBorder="1" applyAlignment="1" applyProtection="1">
      <alignment vertical="center"/>
    </xf>
    <xf numFmtId="180" fontId="41" fillId="14" borderId="17" xfId="13" applyNumberFormat="1" applyFont="1" applyFill="1" applyBorder="1" applyAlignment="1" applyProtection="1">
      <alignment horizontal="right"/>
    </xf>
    <xf numFmtId="180" fontId="0" fillId="0" borderId="17" xfId="13" applyNumberFormat="1" applyFont="1" applyBorder="1" applyAlignment="1" applyProtection="1">
      <alignment horizontal="right"/>
    </xf>
    <xf numFmtId="0" fontId="38" fillId="13" borderId="0" xfId="12" applyFont="1" applyFill="1" applyAlignment="1">
      <alignment horizontal="left" vertical="center"/>
    </xf>
    <xf numFmtId="0" fontId="38" fillId="13" borderId="0" xfId="12" applyFont="1" applyFill="1" applyAlignment="1">
      <alignment horizontal="center" vertical="center"/>
    </xf>
    <xf numFmtId="180" fontId="38" fillId="13" borderId="0" xfId="13" applyNumberFormat="1" applyFont="1" applyFill="1" applyBorder="1" applyAlignment="1" applyProtection="1">
      <alignment horizontal="center" vertical="center"/>
    </xf>
    <xf numFmtId="44" fontId="38" fillId="13" borderId="17" xfId="13" applyNumberFormat="1" applyFont="1" applyFill="1" applyBorder="1" applyAlignment="1" applyProtection="1">
      <alignment horizontal="right"/>
    </xf>
    <xf numFmtId="180" fontId="38" fillId="0" borderId="17" xfId="13" applyNumberFormat="1" applyFont="1" applyBorder="1" applyAlignment="1" applyProtection="1">
      <alignment horizontal="right"/>
    </xf>
    <xf numFmtId="0" fontId="38" fillId="15" borderId="25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center" vertical="center"/>
    </xf>
    <xf numFmtId="180" fontId="38" fillId="15" borderId="25" xfId="13" applyNumberFormat="1" applyFont="1" applyFill="1" applyBorder="1" applyAlignment="1" applyProtection="1">
      <alignment horizontal="center" vertical="center"/>
    </xf>
    <xf numFmtId="44" fontId="38" fillId="15" borderId="26" xfId="13" applyNumberFormat="1" applyFont="1" applyFill="1" applyBorder="1" applyAlignment="1" applyProtection="1">
      <alignment horizontal="right"/>
    </xf>
    <xf numFmtId="0" fontId="2" fillId="0" borderId="13" xfId="14" applyBorder="1"/>
    <xf numFmtId="0" fontId="36" fillId="0" borderId="24" xfId="12" applyBorder="1" applyAlignment="1">
      <alignment vertical="center"/>
    </xf>
    <xf numFmtId="0" fontId="36" fillId="0" borderId="25" xfId="12" applyBorder="1" applyAlignment="1">
      <alignment vertical="center"/>
    </xf>
    <xf numFmtId="179" fontId="35" fillId="16" borderId="27" xfId="13" applyFont="1" applyFill="1" applyBorder="1" applyAlignment="1" applyProtection="1">
      <alignment horizontal="center" vertical="center"/>
    </xf>
    <xf numFmtId="181" fontId="0" fillId="0" borderId="0" xfId="13" applyNumberFormat="1" applyFont="1" applyBorder="1" applyAlignment="1" applyProtection="1">
      <alignment vertical="center"/>
    </xf>
    <xf numFmtId="179" fontId="0" fillId="0" borderId="0" xfId="13" applyFont="1" applyBorder="1" applyAlignment="1" applyProtection="1">
      <alignment vertical="center"/>
    </xf>
    <xf numFmtId="179" fontId="36" fillId="0" borderId="0" xfId="12" applyNumberFormat="1" applyAlignment="1">
      <alignment vertical="center"/>
    </xf>
    <xf numFmtId="0" fontId="36" fillId="0" borderId="0" xfId="12"/>
    <xf numFmtId="0" fontId="42" fillId="0" borderId="0" xfId="0" applyFont="1"/>
    <xf numFmtId="0" fontId="43" fillId="4" borderId="0" xfId="0" applyFont="1" applyFill="1" applyAlignment="1">
      <alignment vertical="top" wrapText="1"/>
    </xf>
    <xf numFmtId="0" fontId="43" fillId="0" borderId="0" xfId="0" applyFont="1" applyAlignment="1">
      <alignment horizontal="left"/>
    </xf>
    <xf numFmtId="10" fontId="43" fillId="0" borderId="0" xfId="0" applyNumberFormat="1" applyFont="1" applyAlignment="1">
      <alignment horizontal="center" vertical="center"/>
    </xf>
    <xf numFmtId="0" fontId="43" fillId="4" borderId="0" xfId="0" applyFont="1" applyFill="1" applyAlignment="1">
      <alignment horizontal="right" vertical="top" wrapText="1"/>
    </xf>
    <xf numFmtId="10" fontId="43" fillId="4" borderId="0" xfId="4" applyNumberFormat="1" applyFont="1" applyFill="1" applyAlignment="1">
      <alignment horizontal="center" vertical="top" wrapText="1"/>
    </xf>
    <xf numFmtId="44" fontId="42" fillId="0" borderId="0" xfId="6" applyFont="1"/>
    <xf numFmtId="0" fontId="47" fillId="0" borderId="0" xfId="1" applyFont="1"/>
    <xf numFmtId="0" fontId="48" fillId="0" borderId="69" xfId="16" applyFont="1" applyBorder="1" applyAlignment="1">
      <alignment horizontal="center" vertical="center" wrapText="1"/>
    </xf>
    <xf numFmtId="0" fontId="48" fillId="0" borderId="69" xfId="16" applyFont="1" applyBorder="1" applyAlignment="1">
      <alignment horizontal="justify" vertical="center" wrapText="1"/>
    </xf>
    <xf numFmtId="176" fontId="48" fillId="0" borderId="69" xfId="15" applyNumberFormat="1" applyFont="1" applyFill="1" applyBorder="1" applyAlignment="1">
      <alignment horizontal="center" vertical="center" wrapText="1"/>
    </xf>
    <xf numFmtId="4" fontId="48" fillId="0" borderId="69" xfId="15" applyNumberFormat="1" applyFont="1" applyFill="1" applyBorder="1" applyAlignment="1">
      <alignment horizontal="center" vertical="center" wrapText="1"/>
    </xf>
    <xf numFmtId="182" fontId="49" fillId="18" borderId="70" xfId="15" applyNumberFormat="1" applyFont="1" applyFill="1" applyBorder="1" applyAlignment="1">
      <alignment horizontal="center" vertical="center" wrapText="1"/>
    </xf>
    <xf numFmtId="0" fontId="48" fillId="0" borderId="70" xfId="16" applyFont="1" applyBorder="1" applyAlignment="1">
      <alignment horizontal="center" vertical="center" wrapText="1"/>
    </xf>
    <xf numFmtId="0" fontId="48" fillId="0" borderId="70" xfId="16" applyFont="1" applyBorder="1" applyAlignment="1">
      <alignment horizontal="justify" vertical="center" wrapText="1"/>
    </xf>
    <xf numFmtId="176" fontId="48" fillId="0" borderId="70" xfId="15" applyNumberFormat="1" applyFont="1" applyFill="1" applyBorder="1" applyAlignment="1">
      <alignment horizontal="center" vertical="center" wrapText="1"/>
    </xf>
    <xf numFmtId="4" fontId="48" fillId="0" borderId="70" xfId="15" applyNumberFormat="1" applyFont="1" applyFill="1" applyBorder="1" applyAlignment="1">
      <alignment horizontal="center" vertical="center" wrapText="1"/>
    </xf>
    <xf numFmtId="0" fontId="48" fillId="0" borderId="71" xfId="16" applyFont="1" applyBorder="1" applyAlignment="1">
      <alignment horizontal="center" vertical="center" wrapText="1"/>
    </xf>
    <xf numFmtId="0" fontId="48" fillId="0" borderId="71" xfId="16" applyFont="1" applyBorder="1" applyAlignment="1">
      <alignment horizontal="justify" vertical="center" wrapText="1"/>
    </xf>
    <xf numFmtId="176" fontId="48" fillId="0" borderId="71" xfId="15" applyNumberFormat="1" applyFont="1" applyFill="1" applyBorder="1" applyAlignment="1">
      <alignment horizontal="center" vertical="center" wrapText="1"/>
    </xf>
    <xf numFmtId="4" fontId="48" fillId="0" borderId="71" xfId="15" applyNumberFormat="1" applyFont="1" applyFill="1" applyBorder="1" applyAlignment="1">
      <alignment horizontal="center" vertical="center" wrapText="1"/>
    </xf>
    <xf numFmtId="0" fontId="47" fillId="0" borderId="72" xfId="0" applyFont="1" applyBorder="1" applyAlignment="1">
      <alignment horizontal="center" vertical="center"/>
    </xf>
    <xf numFmtId="0" fontId="50" fillId="0" borderId="73" xfId="0" applyFont="1" applyBorder="1" applyAlignment="1">
      <alignment horizontal="left" vertical="center"/>
    </xf>
    <xf numFmtId="0" fontId="47" fillId="0" borderId="73" xfId="0" applyFont="1" applyBorder="1" applyAlignment="1">
      <alignment horizontal="center" vertical="center"/>
    </xf>
    <xf numFmtId="183" fontId="44" fillId="0" borderId="69" xfId="2" applyNumberFormat="1" applyFont="1" applyBorder="1" applyAlignment="1">
      <alignment horizontal="center" vertical="center"/>
    </xf>
    <xf numFmtId="0" fontId="47" fillId="0" borderId="75" xfId="0" applyFont="1" applyBorder="1" applyAlignment="1">
      <alignment horizontal="center" vertical="center"/>
    </xf>
    <xf numFmtId="0" fontId="47" fillId="0" borderId="76" xfId="0" applyFont="1" applyBorder="1" applyAlignment="1">
      <alignment horizontal="center" vertical="center"/>
    </xf>
    <xf numFmtId="10" fontId="44" fillId="0" borderId="76" xfId="7" applyNumberFormat="1" applyFont="1" applyBorder="1" applyAlignment="1">
      <alignment vertical="center"/>
    </xf>
    <xf numFmtId="0" fontId="44" fillId="0" borderId="76" xfId="7" applyFont="1" applyBorder="1" applyAlignment="1">
      <alignment horizontal="right" vertical="center"/>
    </xf>
    <xf numFmtId="10" fontId="44" fillId="0" borderId="77" xfId="7" applyNumberFormat="1" applyFont="1" applyBorder="1" applyAlignment="1">
      <alignment horizontal="right" vertical="center"/>
    </xf>
    <xf numFmtId="183" fontId="44" fillId="0" borderId="78" xfId="7" applyNumberFormat="1" applyFont="1" applyBorder="1" applyAlignment="1">
      <alignment horizontal="center"/>
    </xf>
    <xf numFmtId="0" fontId="47" fillId="19" borderId="14" xfId="0" applyFont="1" applyFill="1" applyBorder="1" applyAlignment="1">
      <alignment horizontal="center" vertical="center"/>
    </xf>
    <xf numFmtId="0" fontId="47" fillId="19" borderId="15" xfId="0" applyFont="1" applyFill="1" applyBorder="1" applyAlignment="1">
      <alignment horizontal="center" vertical="center"/>
    </xf>
    <xf numFmtId="0" fontId="51" fillId="17" borderId="15" xfId="16" applyFont="1" applyFill="1" applyBorder="1" applyAlignment="1">
      <alignment horizontal="center" vertical="center" wrapText="1"/>
    </xf>
    <xf numFmtId="180" fontId="44" fillId="19" borderId="27" xfId="7" applyNumberFormat="1" applyFont="1" applyFill="1" applyBorder="1" applyAlignment="1">
      <alignment horizontal="center" vertical="center"/>
    </xf>
    <xf numFmtId="180" fontId="42" fillId="0" borderId="0" xfId="6" applyNumberFormat="1" applyFont="1"/>
    <xf numFmtId="43" fontId="0" fillId="0" borderId="0" xfId="5" applyFont="1" applyAlignment="1">
      <alignment horizontal="right" vertical="center"/>
    </xf>
    <xf numFmtId="43" fontId="0" fillId="0" borderId="0" xfId="5" applyFont="1" applyAlignment="1">
      <alignment horizontal="left" vertical="center"/>
    </xf>
    <xf numFmtId="43" fontId="8" fillId="3" borderId="0" xfId="5" applyFont="1" applyFill="1" applyBorder="1" applyAlignment="1">
      <alignment horizontal="right" vertical="top" wrapText="1"/>
    </xf>
    <xf numFmtId="43" fontId="8" fillId="0" borderId="0" xfId="5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center" vertical="center" wrapText="1"/>
    </xf>
    <xf numFmtId="185" fontId="0" fillId="0" borderId="0" xfId="4" applyNumberFormat="1" applyFont="1"/>
    <xf numFmtId="0" fontId="11" fillId="0" borderId="0" xfId="2" applyAlignment="1">
      <alignment horizontal="left" wrapText="1"/>
    </xf>
    <xf numFmtId="0" fontId="11" fillId="0" borderId="0" xfId="2" applyAlignment="1">
      <alignment horizontal="left"/>
    </xf>
    <xf numFmtId="184" fontId="0" fillId="0" borderId="0" xfId="0" applyNumberFormat="1" applyAlignment="1">
      <alignment vertical="center"/>
    </xf>
    <xf numFmtId="186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0" fontId="13" fillId="7" borderId="0" xfId="0" applyFont="1" applyFill="1" applyAlignment="1">
      <alignment vertical="top"/>
    </xf>
    <xf numFmtId="44" fontId="52" fillId="7" borderId="0" xfId="0" applyNumberFormat="1" applyFont="1" applyFill="1" applyAlignment="1">
      <alignment vertical="top"/>
    </xf>
    <xf numFmtId="0" fontId="13" fillId="7" borderId="0" xfId="0" applyFont="1" applyFill="1"/>
    <xf numFmtId="173" fontId="0" fillId="0" borderId="0" xfId="0" applyNumberFormat="1" applyAlignment="1">
      <alignment vertical="center"/>
    </xf>
    <xf numFmtId="44" fontId="0" fillId="0" borderId="0" xfId="0" applyNumberFormat="1"/>
    <xf numFmtId="0" fontId="7" fillId="2" borderId="80" xfId="0" applyFont="1" applyFill="1" applyBorder="1" applyAlignment="1">
      <alignment horizontal="center" vertical="center" wrapText="1"/>
    </xf>
    <xf numFmtId="0" fontId="7" fillId="2" borderId="80" xfId="0" applyFont="1" applyFill="1" applyBorder="1" applyAlignment="1">
      <alignment horizontal="left" vertical="center" wrapText="1"/>
    </xf>
    <xf numFmtId="43" fontId="7" fillId="2" borderId="80" xfId="5" applyFont="1" applyFill="1" applyBorder="1" applyAlignment="1">
      <alignment horizontal="right" vertical="center" wrapText="1"/>
    </xf>
    <xf numFmtId="44" fontId="7" fillId="2" borderId="80" xfId="6" applyFont="1" applyFill="1" applyBorder="1" applyAlignment="1">
      <alignment horizontal="left" vertical="center" wrapText="1"/>
    </xf>
    <xf numFmtId="0" fontId="7" fillId="2" borderId="81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left" vertical="center" wrapText="1"/>
    </xf>
    <xf numFmtId="0" fontId="7" fillId="2" borderId="82" xfId="0" applyFont="1" applyFill="1" applyBorder="1" applyAlignment="1">
      <alignment horizontal="right" vertical="center" wrapText="1"/>
    </xf>
    <xf numFmtId="44" fontId="7" fillId="2" borderId="56" xfId="6" applyFont="1" applyFill="1" applyBorder="1" applyAlignment="1">
      <alignment horizontal="right" vertical="center" wrapText="1"/>
    </xf>
    <xf numFmtId="0" fontId="7" fillId="2" borderId="83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left" vertical="center" wrapText="1"/>
    </xf>
    <xf numFmtId="0" fontId="7" fillId="2" borderId="84" xfId="0" applyFont="1" applyFill="1" applyBorder="1" applyAlignment="1">
      <alignment horizontal="right" vertical="center" wrapText="1"/>
    </xf>
    <xf numFmtId="44" fontId="7" fillId="2" borderId="84" xfId="6" applyFont="1" applyFill="1" applyBorder="1" applyAlignment="1">
      <alignment horizontal="left" vertical="center" wrapText="1"/>
    </xf>
    <xf numFmtId="44" fontId="7" fillId="2" borderId="85" xfId="6" applyFont="1" applyFill="1" applyBorder="1" applyAlignment="1">
      <alignment horizontal="right" vertical="center" wrapText="1"/>
    </xf>
    <xf numFmtId="43" fontId="7" fillId="2" borderId="84" xfId="5" applyFont="1" applyFill="1" applyBorder="1" applyAlignment="1">
      <alignment horizontal="right" vertical="center" wrapText="1"/>
    </xf>
    <xf numFmtId="44" fontId="7" fillId="2" borderId="86" xfId="6" applyFont="1" applyFill="1" applyBorder="1" applyAlignment="1">
      <alignment horizontal="right" vertical="center" wrapText="1"/>
    </xf>
    <xf numFmtId="0" fontId="7" fillId="2" borderId="45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vertical="center" wrapText="1"/>
    </xf>
    <xf numFmtId="0" fontId="7" fillId="2" borderId="87" xfId="0" applyFont="1" applyFill="1" applyBorder="1" applyAlignment="1">
      <alignment horizontal="left" vertical="center" wrapText="1"/>
    </xf>
    <xf numFmtId="0" fontId="7" fillId="2" borderId="88" xfId="0" applyFont="1" applyFill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center" wrapText="1"/>
    </xf>
    <xf numFmtId="0" fontId="8" fillId="0" borderId="88" xfId="0" applyFont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top" wrapText="1"/>
    </xf>
    <xf numFmtId="0" fontId="8" fillId="0" borderId="88" xfId="0" applyFont="1" applyBorder="1" applyAlignment="1">
      <alignment horizontal="left" vertical="top" wrapText="1"/>
    </xf>
    <xf numFmtId="0" fontId="8" fillId="5" borderId="88" xfId="0" applyFont="1" applyFill="1" applyBorder="1" applyAlignment="1">
      <alignment horizontal="left" vertical="center" wrapText="1"/>
    </xf>
    <xf numFmtId="0" fontId="8" fillId="10" borderId="88" xfId="0" applyFont="1" applyFill="1" applyBorder="1" applyAlignment="1">
      <alignment horizontal="center" vertical="center" wrapText="1"/>
    </xf>
    <xf numFmtId="0" fontId="8" fillId="0" borderId="88" xfId="0" applyFont="1" applyBorder="1" applyAlignment="1">
      <alignment horizontal="center" vertical="center" wrapText="1"/>
    </xf>
    <xf numFmtId="0" fontId="9" fillId="5" borderId="44" xfId="0" applyFont="1" applyFill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8" fillId="0" borderId="79" xfId="0" applyFont="1" applyBorder="1" applyAlignment="1">
      <alignment horizontal="left" vertical="center" wrapText="1"/>
    </xf>
    <xf numFmtId="0" fontId="8" fillId="0" borderId="80" xfId="0" applyFont="1" applyBorder="1" applyAlignment="1">
      <alignment horizontal="center" vertical="center" wrapText="1"/>
    </xf>
    <xf numFmtId="43" fontId="8" fillId="0" borderId="89" xfId="5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6" fillId="4" borderId="31" xfId="0" applyFont="1" applyFill="1" applyBorder="1" applyAlignment="1">
      <alignment vertical="center" wrapText="1"/>
    </xf>
    <xf numFmtId="10" fontId="6" fillId="4" borderId="33" xfId="0" applyNumberFormat="1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top" wrapText="1"/>
    </xf>
    <xf numFmtId="0" fontId="8" fillId="3" borderId="91" xfId="0" applyFont="1" applyFill="1" applyBorder="1" applyAlignment="1">
      <alignment horizontal="left" vertical="top" wrapText="1"/>
    </xf>
    <xf numFmtId="0" fontId="8" fillId="3" borderId="90" xfId="0" applyFont="1" applyFill="1" applyBorder="1" applyAlignment="1">
      <alignment horizontal="left" vertical="top" wrapText="1"/>
    </xf>
    <xf numFmtId="0" fontId="9" fillId="11" borderId="91" xfId="0" applyFont="1" applyFill="1" applyBorder="1" applyAlignment="1">
      <alignment horizontal="left" vertical="top" wrapText="1"/>
    </xf>
    <xf numFmtId="0" fontId="9" fillId="11" borderId="90" xfId="0" applyFont="1" applyFill="1" applyBorder="1" applyAlignment="1">
      <alignment horizontal="left" vertical="top" wrapText="1"/>
    </xf>
    <xf numFmtId="0" fontId="32" fillId="4" borderId="0" xfId="0" applyFont="1" applyFill="1" applyAlignment="1">
      <alignment vertical="top" wrapText="1"/>
    </xf>
    <xf numFmtId="10" fontId="6" fillId="4" borderId="0" xfId="0" applyNumberFormat="1" applyFont="1" applyFill="1" applyAlignment="1">
      <alignment vertical="top" wrapText="1"/>
    </xf>
    <xf numFmtId="10" fontId="6" fillId="4" borderId="30" xfId="0" applyNumberFormat="1" applyFont="1" applyFill="1" applyBorder="1" applyAlignment="1">
      <alignment vertical="top" wrapText="1"/>
    </xf>
    <xf numFmtId="0" fontId="9" fillId="12" borderId="91" xfId="0" applyFont="1" applyFill="1" applyBorder="1" applyAlignment="1">
      <alignment horizontal="left" vertical="top" wrapText="1"/>
    </xf>
    <xf numFmtId="0" fontId="9" fillId="12" borderId="90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right" vertical="top" wrapText="1"/>
    </xf>
    <xf numFmtId="0" fontId="53" fillId="3" borderId="1" xfId="0" applyFont="1" applyFill="1" applyBorder="1" applyAlignment="1">
      <alignment horizontal="center" vertical="top" wrapText="1"/>
    </xf>
    <xf numFmtId="176" fontId="53" fillId="3" borderId="1" xfId="0" applyNumberFormat="1" applyFont="1" applyFill="1" applyBorder="1" applyAlignment="1">
      <alignment horizontal="right" vertical="top" wrapText="1"/>
    </xf>
    <xf numFmtId="4" fontId="53" fillId="3" borderId="1" xfId="0" applyNumberFormat="1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left" vertical="top" wrapText="1"/>
    </xf>
    <xf numFmtId="0" fontId="47" fillId="11" borderId="1" xfId="0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center" vertical="top" wrapText="1"/>
    </xf>
    <xf numFmtId="176" fontId="47" fillId="11" borderId="1" xfId="0" applyNumberFormat="1" applyFont="1" applyFill="1" applyBorder="1" applyAlignment="1">
      <alignment horizontal="right" vertical="top" wrapText="1"/>
    </xf>
    <xf numFmtId="4" fontId="47" fillId="11" borderId="1" xfId="0" applyNumberFormat="1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left" vertical="top" wrapText="1"/>
    </xf>
    <xf numFmtId="0" fontId="47" fillId="12" borderId="1" xfId="0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center" vertical="top" wrapText="1"/>
    </xf>
    <xf numFmtId="176" fontId="47" fillId="12" borderId="1" xfId="0" applyNumberFormat="1" applyFont="1" applyFill="1" applyBorder="1" applyAlignment="1">
      <alignment horizontal="right" vertical="top" wrapText="1"/>
    </xf>
    <xf numFmtId="4" fontId="47" fillId="12" borderId="1" xfId="0" applyNumberFormat="1" applyFont="1" applyFill="1" applyBorder="1" applyAlignment="1">
      <alignment horizontal="right" vertical="top" wrapText="1"/>
    </xf>
    <xf numFmtId="0" fontId="47" fillId="4" borderId="0" xfId="0" applyFont="1" applyFill="1" applyAlignment="1">
      <alignment horizontal="right" vertical="top" wrapText="1"/>
    </xf>
    <xf numFmtId="4" fontId="47" fillId="4" borderId="0" xfId="0" applyNumberFormat="1" applyFont="1" applyFill="1" applyAlignment="1">
      <alignment horizontal="right" vertical="top" wrapText="1"/>
    </xf>
    <xf numFmtId="0" fontId="53" fillId="3" borderId="35" xfId="0" applyFont="1" applyFill="1" applyBorder="1" applyAlignment="1">
      <alignment horizontal="left" vertical="top" wrapText="1"/>
    </xf>
    <xf numFmtId="0" fontId="43" fillId="4" borderId="1" xfId="0" applyFont="1" applyFill="1" applyBorder="1" applyAlignment="1">
      <alignment horizontal="left" vertical="top" wrapText="1"/>
    </xf>
    <xf numFmtId="0" fontId="43" fillId="4" borderId="1" xfId="0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center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177" fontId="44" fillId="4" borderId="0" xfId="0" applyNumberFormat="1" applyFont="1" applyFill="1" applyAlignment="1">
      <alignment horizontal="right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187" fontId="0" fillId="0" borderId="0" xfId="0" applyNumberFormat="1" applyAlignment="1">
      <alignment vertical="center"/>
    </xf>
    <xf numFmtId="0" fontId="6" fillId="4" borderId="2" xfId="0" applyFont="1" applyFill="1" applyBorder="1" applyAlignment="1">
      <alignment vertical="top" wrapText="1"/>
    </xf>
    <xf numFmtId="10" fontId="6" fillId="4" borderId="33" xfId="4" applyNumberFormat="1" applyFont="1" applyFill="1" applyBorder="1" applyAlignment="1">
      <alignment vertical="center" wrapText="1"/>
    </xf>
    <xf numFmtId="10" fontId="6" fillId="4" borderId="30" xfId="4" applyNumberFormat="1" applyFont="1" applyFill="1" applyBorder="1" applyAlignment="1">
      <alignment vertical="top" wrapText="1"/>
    </xf>
    <xf numFmtId="10" fontId="32" fillId="4" borderId="2" xfId="0" applyNumberFormat="1" applyFont="1" applyFill="1" applyBorder="1" applyAlignment="1">
      <alignment vertical="top" wrapText="1"/>
    </xf>
    <xf numFmtId="10" fontId="32" fillId="4" borderId="30" xfId="0" applyNumberFormat="1" applyFont="1" applyFill="1" applyBorder="1" applyAlignment="1">
      <alignment vertical="top" wrapText="1"/>
    </xf>
    <xf numFmtId="0" fontId="7" fillId="2" borderId="15" xfId="0" applyFont="1" applyFill="1" applyBorder="1" applyAlignment="1">
      <alignment horizontal="center" vertical="center" wrapText="1"/>
    </xf>
    <xf numFmtId="0" fontId="33" fillId="9" borderId="15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2" fillId="4" borderId="30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32" fillId="4" borderId="31" xfId="0" applyFont="1" applyFill="1" applyBorder="1" applyAlignment="1">
      <alignment horizontal="left" vertical="top" wrapText="1"/>
    </xf>
    <xf numFmtId="0" fontId="32" fillId="4" borderId="32" xfId="0" applyFont="1" applyFill="1" applyBorder="1" applyAlignment="1">
      <alignment horizontal="left" vertical="top" wrapText="1"/>
    </xf>
    <xf numFmtId="0" fontId="32" fillId="4" borderId="28" xfId="0" applyFont="1" applyFill="1" applyBorder="1" applyAlignment="1">
      <alignment horizontal="left" vertical="top" wrapText="1"/>
    </xf>
    <xf numFmtId="0" fontId="32" fillId="4" borderId="0" xfId="0" applyFont="1" applyFill="1" applyAlignment="1">
      <alignment horizontal="left" vertical="top" wrapText="1"/>
    </xf>
    <xf numFmtId="0" fontId="32" fillId="4" borderId="2" xfId="0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left" vertical="top" wrapText="1"/>
    </xf>
    <xf numFmtId="0" fontId="7" fillId="0" borderId="53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left" vertical="top" wrapText="1"/>
    </xf>
    <xf numFmtId="0" fontId="7" fillId="0" borderId="58" xfId="0" applyFont="1" applyBorder="1" applyAlignment="1">
      <alignment horizontal="left" vertical="top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47" xfId="0" applyFont="1" applyFill="1" applyBorder="1" applyAlignment="1">
      <alignment horizontal="center" wrapText="1"/>
    </xf>
    <xf numFmtId="0" fontId="6" fillId="4" borderId="48" xfId="0" applyFont="1" applyFill="1" applyBorder="1" applyAlignment="1">
      <alignment horizontal="center" wrapText="1"/>
    </xf>
    <xf numFmtId="0" fontId="6" fillId="4" borderId="49" xfId="0" applyFont="1" applyFill="1" applyBorder="1" applyAlignment="1">
      <alignment horizont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left" vertical="top" wrapText="1"/>
    </xf>
    <xf numFmtId="0" fontId="7" fillId="2" borderId="58" xfId="0" applyFont="1" applyFill="1" applyBorder="1" applyAlignment="1">
      <alignment horizontal="left" vertical="top" wrapText="1"/>
    </xf>
    <xf numFmtId="0" fontId="32" fillId="4" borderId="30" xfId="0" applyFont="1" applyFill="1" applyBorder="1" applyAlignment="1">
      <alignment horizontal="left" vertical="top" wrapText="1"/>
    </xf>
    <xf numFmtId="0" fontId="44" fillId="4" borderId="0" xfId="0" applyFont="1" applyFill="1" applyAlignment="1">
      <alignment horizontal="right" vertical="top" wrapText="1"/>
    </xf>
    <xf numFmtId="0" fontId="47" fillId="4" borderId="0" xfId="0" applyFont="1" applyFill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left" vertical="top" wrapText="1"/>
    </xf>
    <xf numFmtId="0" fontId="43" fillId="4" borderId="1" xfId="0" applyFont="1" applyFill="1" applyBorder="1" applyAlignment="1">
      <alignment horizontal="center" vertical="top" wrapText="1"/>
    </xf>
    <xf numFmtId="0" fontId="47" fillId="12" borderId="1" xfId="0" applyFont="1" applyFill="1" applyBorder="1" applyAlignment="1">
      <alignment horizontal="left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left" vertical="top" wrapText="1"/>
    </xf>
    <xf numFmtId="0" fontId="43" fillId="4" borderId="0" xfId="0" applyFont="1" applyFill="1" applyAlignment="1">
      <alignment horizontal="center" wrapText="1"/>
    </xf>
    <xf numFmtId="0" fontId="42" fillId="0" borderId="0" xfId="0" applyFont="1"/>
    <xf numFmtId="0" fontId="6" fillId="4" borderId="1" xfId="0" applyFont="1" applyFill="1" applyBorder="1" applyAlignment="1">
      <alignment horizontal="left" vertical="top" wrapText="1"/>
    </xf>
    <xf numFmtId="0" fontId="9" fillId="4" borderId="0" xfId="0" applyFont="1" applyFill="1" applyAlignment="1">
      <alignment horizontal="right" vertical="top" wrapText="1"/>
    </xf>
    <xf numFmtId="0" fontId="8" fillId="3" borderId="1" xfId="0" applyFont="1" applyFill="1" applyBorder="1" applyAlignment="1">
      <alignment horizontal="left" vertical="top" wrapText="1"/>
    </xf>
    <xf numFmtId="0" fontId="9" fillId="12" borderId="1" xfId="0" applyFont="1" applyFill="1" applyBorder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center" wrapText="1"/>
    </xf>
    <xf numFmtId="0" fontId="0" fillId="0" borderId="0" xfId="0"/>
    <xf numFmtId="0" fontId="9" fillId="11" borderId="1" xfId="0" applyFont="1" applyFill="1" applyBorder="1" applyAlignment="1">
      <alignment horizontal="left" vertical="top" wrapText="1"/>
    </xf>
    <xf numFmtId="0" fontId="11" fillId="0" borderId="11" xfId="2" applyBorder="1" applyAlignment="1">
      <alignment horizontal="center" vertical="center" wrapText="1"/>
    </xf>
    <xf numFmtId="0" fontId="11" fillId="0" borderId="12" xfId="2" applyBorder="1" applyAlignment="1">
      <alignment horizontal="center" vertical="center" wrapText="1"/>
    </xf>
    <xf numFmtId="0" fontId="11" fillId="0" borderId="66" xfId="2" applyBorder="1" applyAlignment="1">
      <alignment horizontal="center" vertical="center" wrapText="1"/>
    </xf>
    <xf numFmtId="0" fontId="11" fillId="0" borderId="13" xfId="2" applyBorder="1" applyAlignment="1">
      <alignment horizontal="center" vertical="center" wrapText="1"/>
    </xf>
    <xf numFmtId="0" fontId="11" fillId="0" borderId="0" xfId="2" applyAlignment="1">
      <alignment horizontal="center" vertical="center" wrapText="1"/>
    </xf>
    <xf numFmtId="0" fontId="11" fillId="0" borderId="17" xfId="2" applyBorder="1" applyAlignment="1">
      <alignment horizontal="center" vertical="center" wrapText="1"/>
    </xf>
    <xf numFmtId="0" fontId="11" fillId="0" borderId="24" xfId="2" applyBorder="1" applyAlignment="1">
      <alignment horizontal="center" vertical="center" wrapText="1"/>
    </xf>
    <xf numFmtId="0" fontId="11" fillId="0" borderId="25" xfId="2" applyBorder="1" applyAlignment="1">
      <alignment horizontal="center" vertical="center" wrapText="1"/>
    </xf>
    <xf numFmtId="0" fontId="11" fillId="0" borderId="26" xfId="2" applyBorder="1" applyAlignment="1">
      <alignment horizontal="center" vertical="center" wrapText="1"/>
    </xf>
    <xf numFmtId="0" fontId="11" fillId="0" borderId="0" xfId="2" applyAlignment="1">
      <alignment horizontal="left" wrapText="1"/>
    </xf>
    <xf numFmtId="0" fontId="16" fillId="0" borderId="18" xfId="1" applyFont="1" applyBorder="1" applyAlignment="1">
      <alignment horizontal="center"/>
    </xf>
    <xf numFmtId="0" fontId="16" fillId="0" borderId="19" xfId="1" applyFont="1" applyBorder="1" applyAlignment="1">
      <alignment horizontal="center"/>
    </xf>
    <xf numFmtId="49" fontId="15" fillId="0" borderId="13" xfId="1" applyNumberFormat="1" applyFont="1" applyBorder="1" applyAlignment="1">
      <alignment horizontal="center" vertical="top" wrapText="1"/>
    </xf>
    <xf numFmtId="49" fontId="15" fillId="0" borderId="0" xfId="1" applyNumberFormat="1" applyFont="1" applyAlignment="1">
      <alignment horizontal="center" vertical="top" wrapText="1"/>
    </xf>
    <xf numFmtId="49" fontId="15" fillId="0" borderId="13" xfId="1" applyNumberFormat="1" applyFont="1" applyBorder="1" applyAlignment="1">
      <alignment horizontal="center" vertical="center" wrapText="1"/>
    </xf>
    <xf numFmtId="49" fontId="15" fillId="0" borderId="0" xfId="1" applyNumberFormat="1" applyFont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8" fillId="0" borderId="21" xfId="2" applyFont="1" applyBorder="1" applyAlignment="1">
      <alignment horizontal="center"/>
    </xf>
    <xf numFmtId="0" fontId="18" fillId="0" borderId="22" xfId="2" applyFont="1" applyBorder="1" applyAlignment="1">
      <alignment horizontal="center"/>
    </xf>
    <xf numFmtId="0" fontId="18" fillId="0" borderId="23" xfId="2" applyFont="1" applyBorder="1" applyAlignment="1">
      <alignment horizontal="center"/>
    </xf>
    <xf numFmtId="0" fontId="13" fillId="7" borderId="0" xfId="0" applyFont="1" applyFill="1" applyAlignment="1">
      <alignment horizontal="left" vertical="top"/>
    </xf>
    <xf numFmtId="0" fontId="11" fillId="0" borderId="0" xfId="2" applyAlignment="1">
      <alignment horizontal="left" vertical="center" wrapText="1"/>
    </xf>
    <xf numFmtId="0" fontId="20" fillId="6" borderId="13" xfId="1" applyFont="1" applyFill="1" applyBorder="1" applyAlignment="1">
      <alignment horizontal="right"/>
    </xf>
    <xf numFmtId="0" fontId="20" fillId="6" borderId="0" xfId="1" applyFont="1" applyFill="1" applyAlignment="1">
      <alignment horizontal="right"/>
    </xf>
    <xf numFmtId="0" fontId="13" fillId="7" borderId="0" xfId="0" applyFont="1" applyFill="1" applyAlignment="1">
      <alignment horizontal="left"/>
    </xf>
    <xf numFmtId="0" fontId="21" fillId="7" borderId="0" xfId="0" applyFont="1" applyFill="1" applyAlignment="1">
      <alignment horizontal="left"/>
    </xf>
    <xf numFmtId="0" fontId="21" fillId="7" borderId="0" xfId="0" applyFont="1" applyFill="1" applyAlignment="1">
      <alignment horizontal="left" vertical="top"/>
    </xf>
    <xf numFmtId="0" fontId="11" fillId="0" borderId="27" xfId="2" applyBorder="1" applyAlignment="1">
      <alignment horizontal="center" vertical="center" wrapText="1"/>
    </xf>
    <xf numFmtId="0" fontId="13" fillId="7" borderId="0" xfId="0" applyFont="1" applyFill="1" applyAlignment="1">
      <alignment horizontal="left" wrapText="1"/>
    </xf>
    <xf numFmtId="0" fontId="26" fillId="0" borderId="0" xfId="2" applyFont="1" applyAlignment="1">
      <alignment horizontal="left" wrapText="1"/>
    </xf>
    <xf numFmtId="0" fontId="24" fillId="0" borderId="28" xfId="2" applyFont="1" applyBorder="1" applyAlignment="1">
      <alignment horizontal="center"/>
    </xf>
    <xf numFmtId="0" fontId="24" fillId="0" borderId="0" xfId="2" applyFont="1" applyAlignment="1">
      <alignment horizontal="center"/>
    </xf>
    <xf numFmtId="0" fontId="24" fillId="0" borderId="29" xfId="2" applyFont="1" applyBorder="1" applyAlignment="1">
      <alignment horizontal="center"/>
    </xf>
    <xf numFmtId="0" fontId="24" fillId="0" borderId="28" xfId="2" applyFont="1" applyBorder="1" applyAlignment="1">
      <alignment horizontal="left" vertical="top" wrapText="1"/>
    </xf>
    <xf numFmtId="0" fontId="24" fillId="0" borderId="0" xfId="2" applyFont="1" applyAlignment="1">
      <alignment horizontal="left" vertical="top" wrapText="1"/>
    </xf>
    <xf numFmtId="0" fontId="24" fillId="0" borderId="29" xfId="2" applyFont="1" applyBorder="1" applyAlignment="1">
      <alignment horizontal="left" vertical="top" wrapText="1"/>
    </xf>
    <xf numFmtId="0" fontId="24" fillId="0" borderId="28" xfId="2" applyFont="1" applyBorder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4" fillId="0" borderId="29" xfId="2" applyFont="1" applyBorder="1" applyAlignment="1">
      <alignment horizontal="left" vertical="center" wrapText="1"/>
    </xf>
    <xf numFmtId="0" fontId="24" fillId="0" borderId="13" xfId="2" applyFont="1" applyBorder="1" applyAlignment="1">
      <alignment horizontal="center"/>
    </xf>
    <xf numFmtId="0" fontId="24" fillId="0" borderId="17" xfId="2" applyFont="1" applyBorder="1" applyAlignment="1">
      <alignment horizontal="center"/>
    </xf>
    <xf numFmtId="0" fontId="25" fillId="0" borderId="28" xfId="2" applyFont="1" applyBorder="1" applyAlignment="1">
      <alignment horizontal="left"/>
    </xf>
    <xf numFmtId="0" fontId="25" fillId="0" borderId="0" xfId="2" applyFont="1" applyAlignment="1">
      <alignment horizontal="left"/>
    </xf>
    <xf numFmtId="0" fontId="29" fillId="6" borderId="28" xfId="2" applyFont="1" applyFill="1" applyBorder="1" applyAlignment="1">
      <alignment horizontal="center"/>
    </xf>
    <xf numFmtId="0" fontId="29" fillId="6" borderId="0" xfId="2" applyFont="1" applyFill="1" applyAlignment="1">
      <alignment horizontal="center"/>
    </xf>
    <xf numFmtId="0" fontId="29" fillId="6" borderId="29" xfId="2" applyFont="1" applyFill="1" applyBorder="1" applyAlignment="1">
      <alignment horizontal="center"/>
    </xf>
    <xf numFmtId="0" fontId="29" fillId="0" borderId="13" xfId="2" applyFont="1" applyBorder="1" applyAlignment="1">
      <alignment horizontal="center"/>
    </xf>
    <xf numFmtId="0" fontId="29" fillId="0" borderId="17" xfId="2" applyFont="1" applyBorder="1" applyAlignment="1">
      <alignment horizontal="center"/>
    </xf>
    <xf numFmtId="0" fontId="38" fillId="13" borderId="13" xfId="12" applyFont="1" applyFill="1" applyBorder="1" applyAlignment="1">
      <alignment horizontal="left" vertical="center"/>
    </xf>
    <xf numFmtId="0" fontId="38" fillId="13" borderId="0" xfId="12" applyFont="1" applyFill="1" applyAlignment="1">
      <alignment horizontal="left" vertical="center"/>
    </xf>
    <xf numFmtId="0" fontId="36" fillId="0" borderId="13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0" fontId="38" fillId="15" borderId="24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left" vertical="center"/>
    </xf>
    <xf numFmtId="0" fontId="36" fillId="0" borderId="25" xfId="12" applyBorder="1" applyAlignment="1">
      <alignment horizontal="center" vertical="center"/>
    </xf>
    <xf numFmtId="0" fontId="37" fillId="13" borderId="11" xfId="12" applyFont="1" applyFill="1" applyBorder="1" applyAlignment="1">
      <alignment horizontal="center" vertical="center"/>
    </xf>
    <xf numFmtId="0" fontId="37" fillId="13" borderId="12" xfId="12" applyFont="1" applyFill="1" applyBorder="1" applyAlignment="1">
      <alignment horizontal="center" vertical="center"/>
    </xf>
    <xf numFmtId="0" fontId="37" fillId="13" borderId="66" xfId="12" applyFont="1" applyFill="1" applyBorder="1" applyAlignment="1">
      <alignment horizontal="center" vertical="center"/>
    </xf>
    <xf numFmtId="0" fontId="38" fillId="0" borderId="13" xfId="12" applyFont="1" applyBorder="1" applyAlignment="1">
      <alignment horizontal="center" vertical="center"/>
    </xf>
    <xf numFmtId="0" fontId="38" fillId="0" borderId="0" xfId="12" applyFont="1" applyAlignment="1">
      <alignment horizontal="center" vertical="center"/>
    </xf>
    <xf numFmtId="0" fontId="36" fillId="14" borderId="13" xfId="12" applyFill="1" applyBorder="1" applyAlignment="1">
      <alignment horizontal="left" vertical="center"/>
    </xf>
    <xf numFmtId="0" fontId="36" fillId="14" borderId="0" xfId="12" applyFill="1" applyAlignment="1">
      <alignment horizontal="left" vertical="center"/>
    </xf>
    <xf numFmtId="0" fontId="36" fillId="0" borderId="13" xfId="12" applyBorder="1" applyAlignment="1">
      <alignment horizontal="center" vertical="center"/>
    </xf>
    <xf numFmtId="0" fontId="36" fillId="0" borderId="0" xfId="12" applyAlignment="1">
      <alignment horizontal="center" vertical="center"/>
    </xf>
    <xf numFmtId="0" fontId="44" fillId="4" borderId="0" xfId="0" applyFont="1" applyFill="1" applyAlignment="1">
      <alignment horizontal="left" vertical="top" wrapText="1"/>
    </xf>
    <xf numFmtId="0" fontId="44" fillId="4" borderId="0" xfId="0" applyFont="1" applyFill="1" applyAlignment="1">
      <alignment horizontal="center" vertical="top" wrapText="1"/>
    </xf>
    <xf numFmtId="176" fontId="46" fillId="17" borderId="67" xfId="15" applyNumberFormat="1" applyFont="1" applyFill="1" applyBorder="1" applyAlignment="1">
      <alignment horizontal="center" vertical="center" wrapText="1"/>
    </xf>
    <xf numFmtId="176" fontId="46" fillId="17" borderId="68" xfId="15" applyNumberFormat="1" applyFont="1" applyFill="1" applyBorder="1" applyAlignment="1">
      <alignment horizontal="center" vertical="center" wrapText="1"/>
    </xf>
    <xf numFmtId="0" fontId="44" fillId="0" borderId="73" xfId="2" applyFont="1" applyBorder="1" applyAlignment="1">
      <alignment horizontal="right" vertical="center"/>
    </xf>
    <xf numFmtId="0" fontId="44" fillId="0" borderId="74" xfId="2" applyFont="1" applyBorder="1" applyAlignment="1">
      <alignment horizontal="right" vertical="center"/>
    </xf>
    <xf numFmtId="0" fontId="43" fillId="0" borderId="0" xfId="0" applyFont="1" applyAlignment="1">
      <alignment horizontal="left"/>
    </xf>
    <xf numFmtId="0" fontId="43" fillId="4" borderId="0" xfId="0" applyFont="1" applyFill="1" applyAlignment="1">
      <alignment horizontal="left" vertical="top" wrapText="1"/>
    </xf>
    <xf numFmtId="0" fontId="44" fillId="19" borderId="15" xfId="7" applyFont="1" applyFill="1" applyBorder="1" applyAlignment="1">
      <alignment horizontal="right" vertical="center"/>
    </xf>
    <xf numFmtId="0" fontId="44" fillId="19" borderId="16" xfId="7" applyFont="1" applyFill="1" applyBorder="1" applyAlignment="1">
      <alignment horizontal="right" vertical="center"/>
    </xf>
    <xf numFmtId="0" fontId="43" fillId="0" borderId="0" xfId="0" applyFont="1" applyAlignment="1">
      <alignment horizontal="center"/>
    </xf>
    <xf numFmtId="0" fontId="46" fillId="17" borderId="67" xfId="16" applyFont="1" applyFill="1" applyBorder="1" applyAlignment="1">
      <alignment horizontal="center" vertical="center" wrapText="1"/>
    </xf>
    <xf numFmtId="0" fontId="46" fillId="17" borderId="68" xfId="16" applyFont="1" applyFill="1" applyBorder="1" applyAlignment="1">
      <alignment horizontal="center" vertical="center" wrapText="1"/>
    </xf>
    <xf numFmtId="0" fontId="46" fillId="17" borderId="67" xfId="16" quotePrefix="1" applyFont="1" applyFill="1" applyBorder="1" applyAlignment="1">
      <alignment horizontal="left" vertical="center" wrapText="1"/>
    </xf>
    <xf numFmtId="0" fontId="46" fillId="17" borderId="68" xfId="16" applyFont="1" applyFill="1" applyBorder="1" applyAlignment="1">
      <alignment horizontal="left" vertical="center" wrapText="1"/>
    </xf>
  </cellXfs>
  <cellStyles count="19">
    <cellStyle name="Moeda" xfId="6" builtinId="4"/>
    <cellStyle name="Moeda 2" xfId="8" xr:uid="{18843C6C-3BC6-4B34-ABB9-B4E44F9EA580}"/>
    <cellStyle name="Moeda 2 2" xfId="15" xr:uid="{7D898F2F-10DB-44B5-9C4B-B08E4356D6D6}"/>
    <cellStyle name="Moeda 3" xfId="18" xr:uid="{41DCA1C5-0AE1-4542-83B6-00228D401035}"/>
    <cellStyle name="Normal" xfId="0" builtinId="0"/>
    <cellStyle name="Normal 11" xfId="1" xr:uid="{59E3EF3B-171F-48F2-99ED-57A1C2B62843}"/>
    <cellStyle name="Normal 2" xfId="2" xr:uid="{11B630B1-5A5E-4472-BD02-91CEA33898FD}"/>
    <cellStyle name="Normal 2 2" xfId="7" xr:uid="{2B4BB194-C8BC-4FF9-8276-62D5B62F402C}"/>
    <cellStyle name="Normal 3" xfId="3" xr:uid="{2CF00897-741D-4104-BDC2-BF0B05A7C05F}"/>
    <cellStyle name="Normal 3 2" xfId="17" xr:uid="{3B2E4E6A-F09A-49BD-A918-27E7EE6894A0}"/>
    <cellStyle name="Normal 4" xfId="10" xr:uid="{96D36106-F585-4EF8-8021-752E44FDB68C}"/>
    <cellStyle name="Normal 4 2" xfId="14" xr:uid="{96C3AF61-EB8D-43D7-BD08-78D1C37FD20B}"/>
    <cellStyle name="Normal 9" xfId="12" xr:uid="{196A22BA-7373-4BA4-AE98-F4F7D81EA3F8}"/>
    <cellStyle name="Normal_Pesquisa no referencial 10 de maio de 2013" xfId="16" xr:uid="{9B8B79EB-A2DA-4E07-8C03-CDB3F86FBC2F}"/>
    <cellStyle name="Porcentagem" xfId="4" builtinId="5"/>
    <cellStyle name="Vírgula" xfId="5" builtinId="3"/>
    <cellStyle name="Vírgula 2" xfId="11" xr:uid="{E4A078B4-863C-4BEE-A229-BD496ACF2F00}"/>
    <cellStyle name="Vírgula 3" xfId="9" xr:uid="{1156FF40-F7DF-43AA-9937-18BAD947C3A9}"/>
    <cellStyle name="Vírgula 9" xfId="13" xr:uid="{7DE52D1D-7B1E-4A83-8B09-362EEDFA52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561461</xdr:colOff>
      <xdr:row>0</xdr:row>
      <xdr:rowOff>113059</xdr:rowOff>
    </xdr:from>
    <xdr:to>
      <xdr:col>4</xdr:col>
      <xdr:colOff>610844</xdr:colOff>
      <xdr:row>0</xdr:row>
      <xdr:rowOff>745435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77AECE1D-2716-4D05-9FFA-E0DA94BB9CB1}"/>
            </a:ext>
          </a:extLst>
        </xdr:cNvPr>
        <xdr:cNvSpPr txBox="1"/>
      </xdr:nvSpPr>
      <xdr:spPr>
        <a:xfrm>
          <a:off x="2135157" y="113059"/>
          <a:ext cx="4331491" cy="632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lang="pt-BR" sz="1000" b="1"/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6ª</a:t>
          </a:r>
          <a:r>
            <a:rPr lang="pt-BR" sz="1000" b="1" baseline="0"/>
            <a:t> Superintendência Regional</a:t>
          </a:r>
          <a:r>
            <a:rPr lang="pt-BR" sz="1000" b="1"/>
            <a:t>-Juazeiro-BA	</a:t>
          </a:r>
        </a:p>
      </xdr:txBody>
    </xdr:sp>
    <xdr:clientData/>
  </xdr:twoCellAnchor>
  <xdr:twoCellAnchor>
    <xdr:from>
      <xdr:col>0</xdr:col>
      <xdr:colOff>227358</xdr:colOff>
      <xdr:row>0</xdr:row>
      <xdr:rowOff>161511</xdr:rowOff>
    </xdr:from>
    <xdr:to>
      <xdr:col>1</xdr:col>
      <xdr:colOff>583240</xdr:colOff>
      <xdr:row>0</xdr:row>
      <xdr:rowOff>632960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01A171E-1F00-4DF6-8006-4789D5F58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58" y="161511"/>
          <a:ext cx="1929578" cy="47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FC2BFC0-737F-41B6-B04D-B9604CC22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1"/>
          <a:ext cx="27622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62192</xdr:colOff>
      <xdr:row>0</xdr:row>
      <xdr:rowOff>80797</xdr:rowOff>
    </xdr:from>
    <xdr:to>
      <xdr:col>1</xdr:col>
      <xdr:colOff>2162736</xdr:colOff>
      <xdr:row>1</xdr:row>
      <xdr:rowOff>352759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C51C3F2-4034-48EB-BFB1-07B17AE34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2" y="80797"/>
          <a:ext cx="2683250" cy="4624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0</xdr:row>
      <xdr:rowOff>23812</xdr:rowOff>
    </xdr:from>
    <xdr:to>
      <xdr:col>2</xdr:col>
      <xdr:colOff>11906</xdr:colOff>
      <xdr:row>1</xdr:row>
      <xdr:rowOff>223837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BCFAEBB-CCA0-4573-B2AE-5BD77D05E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23812"/>
          <a:ext cx="1666874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142875</xdr:rowOff>
    </xdr:from>
    <xdr:to>
      <xdr:col>11</xdr:col>
      <xdr:colOff>200025</xdr:colOff>
      <xdr:row>3</xdr:row>
      <xdr:rowOff>104775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76EAA967-B13B-4763-8A16-3D5ADC1F5B17}"/>
            </a:ext>
          </a:extLst>
        </xdr:cNvPr>
        <xdr:cNvSpPr txBox="1"/>
      </xdr:nvSpPr>
      <xdr:spPr>
        <a:xfrm>
          <a:off x="47625" y="142875"/>
          <a:ext cx="10010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da Integração e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1</xdr:row>
      <xdr:rowOff>19050</xdr:rowOff>
    </xdr:from>
    <xdr:to>
      <xdr:col>1</xdr:col>
      <xdr:colOff>1504950</xdr:colOff>
      <xdr:row>2</xdr:row>
      <xdr:rowOff>180975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C5C9414-9A8F-4BB7-A2D0-514C8ED52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975"/>
          <a:ext cx="1952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16</xdr:row>
      <xdr:rowOff>28575</xdr:rowOff>
    </xdr:from>
    <xdr:to>
      <xdr:col>6</xdr:col>
      <xdr:colOff>1061652</xdr:colOff>
      <xdr:row>41</xdr:row>
      <xdr:rowOff>124581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C592B79-1E53-4135-ACDD-A2DA009E46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3143250"/>
          <a:ext cx="7567227" cy="4144131"/>
        </a:xfrm>
        <a:prstGeom prst="rect">
          <a:avLst/>
        </a:prstGeom>
      </xdr:spPr>
    </xdr:pic>
    <xdr:clientData/>
  </xdr:twoCellAnchor>
  <xdr:twoCellAnchor>
    <xdr:from>
      <xdr:col>0</xdr:col>
      <xdr:colOff>47626</xdr:colOff>
      <xdr:row>0</xdr:row>
      <xdr:rowOff>64554</xdr:rowOff>
    </xdr:from>
    <xdr:to>
      <xdr:col>2</xdr:col>
      <xdr:colOff>187078</xdr:colOff>
      <xdr:row>2</xdr:row>
      <xdr:rowOff>152400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43FE0634-9CE8-4510-8C83-45DD917B0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626" y="64554"/>
          <a:ext cx="2330202" cy="41169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771525</xdr:colOff>
      <xdr:row>0</xdr:row>
      <xdr:rowOff>19050</xdr:rowOff>
    </xdr:from>
    <xdr:to>
      <xdr:col>6</xdr:col>
      <xdr:colOff>154081</xdr:colOff>
      <xdr:row>3</xdr:row>
      <xdr:rowOff>122583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987C16AD-3754-404B-9745-359F08B20A19}"/>
            </a:ext>
          </a:extLst>
        </xdr:cNvPr>
        <xdr:cNvSpPr txBox="1">
          <a:spLocks noChangeArrowheads="1"/>
        </xdr:cNvSpPr>
      </xdr:nvSpPr>
      <xdr:spPr bwMode="auto">
        <a:xfrm>
          <a:off x="771525" y="19050"/>
          <a:ext cx="5954806" cy="58930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 Ministério da Integração e do Desenvolvimento Regional - MDR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Companhia de Desenvolvimento dos Vales do São Francisco e do Parnaíba                   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6ªGRD/UEP - 6ª Superintendência Regional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52916</xdr:colOff>
      <xdr:row>0</xdr:row>
      <xdr:rowOff>84667</xdr:rowOff>
    </xdr:from>
    <xdr:to>
      <xdr:col>1</xdr:col>
      <xdr:colOff>1703916</xdr:colOff>
      <xdr:row>0</xdr:row>
      <xdr:rowOff>446617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3F5AE9B-9EF1-4946-8CAA-566B9D06A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6" y="84667"/>
          <a:ext cx="2098675" cy="361950"/>
        </a:xfrm>
        <a:prstGeom prst="rect">
          <a:avLst/>
        </a:prstGeom>
      </xdr:spPr>
    </xdr:pic>
    <xdr:clientData/>
  </xdr:twoCellAnchor>
  <xdr:twoCellAnchor>
    <xdr:from>
      <xdr:col>1</xdr:col>
      <xdr:colOff>1661583</xdr:colOff>
      <xdr:row>0</xdr:row>
      <xdr:rowOff>42333</xdr:rowOff>
    </xdr:from>
    <xdr:to>
      <xdr:col>4</xdr:col>
      <xdr:colOff>2000250</xdr:colOff>
      <xdr:row>1</xdr:row>
      <xdr:rowOff>31750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2FF39D9-01B9-49D3-8C1B-96B9C7E74805}"/>
            </a:ext>
          </a:extLst>
        </xdr:cNvPr>
        <xdr:cNvSpPr txBox="1"/>
      </xdr:nvSpPr>
      <xdr:spPr>
        <a:xfrm>
          <a:off x="2109258" y="42333"/>
          <a:ext cx="7615767" cy="5228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200" b="1"/>
            <a:t>Ministério da</a:t>
          </a:r>
          <a:r>
            <a:rPr lang="pt-BR" sz="1200" b="1" baseline="0"/>
            <a:t> Integração e </a:t>
          </a:r>
          <a:r>
            <a:rPr lang="pt-BR" sz="1200" b="1"/>
            <a:t>do Desenvolvimento Regional – MIDR</a:t>
          </a:r>
        </a:p>
        <a:p>
          <a:r>
            <a:rPr lang="pt-BR" sz="12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20</xdr:row>
      <xdr:rowOff>66674</xdr:rowOff>
    </xdr:from>
    <xdr:to>
      <xdr:col>7</xdr:col>
      <xdr:colOff>211849</xdr:colOff>
      <xdr:row>37</xdr:row>
      <xdr:rowOff>48287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6ABE990F-0F78-7A18-302D-FDEC6F91B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4286249"/>
          <a:ext cx="6898399" cy="322011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2</xdr:col>
      <xdr:colOff>409575</xdr:colOff>
      <xdr:row>1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2C5108-1E0E-4BEA-BF7E-6F4E9B05C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9525"/>
          <a:ext cx="2095500" cy="361950"/>
        </a:xfrm>
        <a:prstGeom prst="rect">
          <a:avLst/>
        </a:prstGeom>
      </xdr:spPr>
    </xdr:pic>
    <xdr:clientData/>
  </xdr:twoCellAnchor>
  <xdr:twoCellAnchor>
    <xdr:from>
      <xdr:col>0</xdr:col>
      <xdr:colOff>504825</xdr:colOff>
      <xdr:row>28</xdr:row>
      <xdr:rowOff>152400</xdr:rowOff>
    </xdr:from>
    <xdr:to>
      <xdr:col>7</xdr:col>
      <xdr:colOff>352425</xdr:colOff>
      <xdr:row>34</xdr:row>
      <xdr:rowOff>9525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6ACF5594-9ACB-48CC-A19B-235F3C267345}"/>
            </a:ext>
          </a:extLst>
        </xdr:cNvPr>
        <xdr:cNvSpPr/>
      </xdr:nvSpPr>
      <xdr:spPr>
        <a:xfrm>
          <a:off x="504825" y="5895975"/>
          <a:ext cx="6981825" cy="1000125"/>
        </a:xfrm>
        <a:prstGeom prst="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514350</xdr:colOff>
      <xdr:row>31</xdr:row>
      <xdr:rowOff>133350</xdr:rowOff>
    </xdr:from>
    <xdr:to>
      <xdr:col>7</xdr:col>
      <xdr:colOff>104775</xdr:colOff>
      <xdr:row>32</xdr:row>
      <xdr:rowOff>66675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A73E61AF-26A3-484B-8998-FBD55279B4B8}"/>
            </a:ext>
          </a:extLst>
        </xdr:cNvPr>
        <xdr:cNvSpPr/>
      </xdr:nvSpPr>
      <xdr:spPr>
        <a:xfrm>
          <a:off x="6724650" y="6448425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371475</xdr:colOff>
      <xdr:row>0</xdr:row>
      <xdr:rowOff>19050</xdr:rowOff>
    </xdr:from>
    <xdr:to>
      <xdr:col>7</xdr:col>
      <xdr:colOff>400050</xdr:colOff>
      <xdr:row>2</xdr:row>
      <xdr:rowOff>99484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DEC1790B-D1D8-45C5-9862-B3832671EDA8}"/>
            </a:ext>
          </a:extLst>
        </xdr:cNvPr>
        <xdr:cNvSpPr txBox="1"/>
      </xdr:nvSpPr>
      <xdr:spPr>
        <a:xfrm>
          <a:off x="2095500" y="19050"/>
          <a:ext cx="5438775" cy="5185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da</a:t>
          </a:r>
          <a:r>
            <a:rPr lang="pt-BR" sz="1000" b="1" baseline="0"/>
            <a:t> Integração e </a:t>
          </a:r>
          <a:r>
            <a:rPr lang="pt-BR" sz="1000" b="1"/>
            <a:t>do Desenvolvimento Regional – MIDR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6</xdr:col>
      <xdr:colOff>514350</xdr:colOff>
      <xdr:row>30</xdr:row>
      <xdr:rowOff>104775</xdr:rowOff>
    </xdr:from>
    <xdr:to>
      <xdr:col>7</xdr:col>
      <xdr:colOff>104775</xdr:colOff>
      <xdr:row>31</xdr:row>
      <xdr:rowOff>38100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7CE041D3-EA17-4202-A01D-D2A5D9CB8604}"/>
            </a:ext>
          </a:extLst>
        </xdr:cNvPr>
        <xdr:cNvSpPr/>
      </xdr:nvSpPr>
      <xdr:spPr>
        <a:xfrm>
          <a:off x="6724650" y="6229350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0AE11F8-6EB9-4680-AB2D-EBE75B0EC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95251"/>
          <a:ext cx="2766483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332801</xdr:colOff>
      <xdr:row>0</xdr:row>
      <xdr:rowOff>22952</xdr:rowOff>
    </xdr:from>
    <xdr:to>
      <xdr:col>4</xdr:col>
      <xdr:colOff>4854307</xdr:colOff>
      <xdr:row>1</xdr:row>
      <xdr:rowOff>378705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F3A7726D-1C8C-4FC5-9F65-AC078FEDC69E}"/>
            </a:ext>
          </a:extLst>
        </xdr:cNvPr>
        <xdr:cNvSpPr txBox="1"/>
      </xdr:nvSpPr>
      <xdr:spPr>
        <a:xfrm>
          <a:off x="3546054" y="22952"/>
          <a:ext cx="4521506" cy="5508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50" b="1"/>
            <a:t>Ministério da</a:t>
          </a:r>
          <a:r>
            <a:rPr lang="pt-BR" sz="1050" b="1" baseline="0"/>
            <a:t> Integração e </a:t>
          </a:r>
          <a:r>
            <a:rPr lang="pt-BR" sz="1050" b="1"/>
            <a:t>do Desenvolvimento Regional – MIDR</a:t>
          </a:r>
        </a:p>
        <a:p>
          <a:r>
            <a:rPr lang="pt-BR" sz="105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6&#170;%20GRD-UEP\2022\10%20-%20SRP%20PAVIMENTA&#199;&#213;ES\PLANILHAS%20OR&#199;AMENTARIAS%20ORIGINAIS\Capa%20Asfaltica%20em%20CBUQ%202022%20-%20LOTE%2001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Relationship Id="rId1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CAPA EM CBUQ"/>
      <sheetName val=" MC"/>
      <sheetName val="COMP."/>
      <sheetName val="CRONOGRAMA"/>
      <sheetName val="MOB E DESM"/>
      <sheetName val="MAT BETUMINSO"/>
      <sheetName val="Dist. Mat Betuminoso"/>
    </sheetNames>
    <sheetDataSet>
      <sheetData sheetId="0" refreshError="1"/>
      <sheetData sheetId="1">
        <row r="5">
          <cell r="D5" t="str">
            <v>CAPA ASFÁLTICA EM CBUQ</v>
          </cell>
        </row>
        <row r="6">
          <cell r="D6" t="str">
            <v>PROJETO EXECUTIVO</v>
          </cell>
        </row>
        <row r="9">
          <cell r="D9" t="str">
            <v>SERVIÇOS PRELIMINARES</v>
          </cell>
        </row>
        <row r="14">
          <cell r="D14" t="str">
            <v>PAVIMENTAÇÃO</v>
          </cell>
        </row>
      </sheetData>
      <sheetData sheetId="2">
        <row r="6">
          <cell r="D6">
            <v>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Orçamento Sintético"/>
      <sheetName val="Projeto Executivo"/>
      <sheetName val="CPU ENSAIOS"/>
      <sheetName val="CPUs"/>
      <sheetName val="CRONOGRAMA"/>
      <sheetName val="MC"/>
      <sheetName val="Mob e Desmob"/>
      <sheetName val="Curva ABC"/>
      <sheetName val="BDI"/>
      <sheetName val="ENC.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1">
          <cell r="E51">
            <v>1.1515</v>
          </cell>
          <cell r="F51">
            <v>0.71220000000000006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B3564-F783-4B11-85C6-B5CF60AF07AA}">
  <dimension ref="A1:L17"/>
  <sheetViews>
    <sheetView tabSelected="1" view="pageBreakPreview" zoomScaleNormal="100" zoomScaleSheetLayoutView="100" workbookViewId="0">
      <selection activeCell="A6" sqref="A6"/>
    </sheetView>
  </sheetViews>
  <sheetFormatPr defaultRowHeight="14.25" x14ac:dyDescent="0.2"/>
  <cols>
    <col min="1" max="1" width="20.625" customWidth="1"/>
    <col min="2" max="2" width="30.5" bestFit="1" customWidth="1"/>
    <col min="4" max="4" width="16.625" bestFit="1" customWidth="1"/>
    <col min="9" max="9" width="10.25" bestFit="1" customWidth="1"/>
    <col min="10" max="10" width="17.875" bestFit="1" customWidth="1"/>
  </cols>
  <sheetData>
    <row r="1" spans="1:12" ht="61.5" customHeight="1" x14ac:dyDescent="0.2"/>
    <row r="2" spans="1:12" s="70" customFormat="1" ht="30" customHeight="1" x14ac:dyDescent="0.2">
      <c r="A2" s="424" t="s">
        <v>413</v>
      </c>
      <c r="B2" s="424"/>
      <c r="C2" s="424"/>
      <c r="D2" s="424"/>
      <c r="E2" s="424"/>
      <c r="F2" s="424"/>
      <c r="G2" s="424"/>
    </row>
    <row r="4" spans="1:12" ht="15" x14ac:dyDescent="0.25">
      <c r="A4" s="425" t="s">
        <v>419</v>
      </c>
      <c r="B4" s="425"/>
      <c r="C4" s="425"/>
      <c r="D4" s="425"/>
      <c r="E4" s="425"/>
      <c r="F4" s="425"/>
      <c r="G4" s="425"/>
    </row>
    <row r="5" spans="1:12" ht="15" x14ac:dyDescent="0.25">
      <c r="A5" s="425" t="s">
        <v>262</v>
      </c>
      <c r="B5" s="425"/>
      <c r="C5" s="425"/>
      <c r="D5" s="425"/>
      <c r="E5" s="425"/>
      <c r="F5" s="425"/>
      <c r="G5" s="425"/>
    </row>
    <row r="6" spans="1:12" x14ac:dyDescent="0.2">
      <c r="A6" s="87"/>
      <c r="B6" s="87" t="s">
        <v>98</v>
      </c>
      <c r="C6" s="87"/>
      <c r="D6" s="88">
        <f>+'Orçamento Sintético'!J6</f>
        <v>33058256</v>
      </c>
      <c r="E6" s="87"/>
      <c r="F6" s="87"/>
      <c r="G6" s="87"/>
    </row>
    <row r="7" spans="1:12" x14ac:dyDescent="0.2">
      <c r="A7" s="87"/>
      <c r="B7" s="87" t="s">
        <v>99</v>
      </c>
      <c r="C7" s="87"/>
      <c r="D7" s="89">
        <f>'MC '!F6*'MC '!F3</f>
        <v>308000</v>
      </c>
      <c r="E7" s="87"/>
      <c r="F7" s="87"/>
      <c r="G7" s="87"/>
      <c r="I7" s="90"/>
      <c r="J7" s="96"/>
      <c r="L7" s="90"/>
    </row>
    <row r="8" spans="1:12" x14ac:dyDescent="0.2">
      <c r="A8" s="91"/>
      <c r="B8" s="91" t="s">
        <v>100</v>
      </c>
      <c r="C8" s="91"/>
      <c r="D8" s="92">
        <f>+D6/D7</f>
        <v>107.33199999999999</v>
      </c>
      <c r="E8" s="91"/>
      <c r="F8" s="91"/>
      <c r="G8" s="91"/>
      <c r="J8" s="97"/>
    </row>
    <row r="9" spans="1:12" x14ac:dyDescent="0.2">
      <c r="J9" s="98"/>
    </row>
    <row r="13" spans="1:12" x14ac:dyDescent="0.2">
      <c r="D13" s="347"/>
    </row>
    <row r="15" spans="1:12" x14ac:dyDescent="0.2">
      <c r="D15" s="220"/>
    </row>
    <row r="16" spans="1:12" x14ac:dyDescent="0.2">
      <c r="D16" s="220"/>
    </row>
    <row r="17" spans="4:4" x14ac:dyDescent="0.2">
      <c r="D17" s="90"/>
    </row>
  </sheetData>
  <mergeCells count="3">
    <mergeCell ref="A2:G2"/>
    <mergeCell ref="A5:G5"/>
    <mergeCell ref="A4:G4"/>
  </mergeCells>
  <pageMargins left="0.511811024" right="0.511811024" top="0.78740157499999996" bottom="0.78740157499999996" header="0.31496062000000002" footer="0.31496062000000002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9F877-8AD5-4B54-A2FB-4BC39069DE6B}">
  <sheetPr>
    <pageSetUpPr fitToPage="1"/>
  </sheetPr>
  <dimension ref="A1:T15"/>
  <sheetViews>
    <sheetView showOutlineSymbols="0" showWhiteSpace="0" view="pageBreakPreview" zoomScale="83" zoomScaleNormal="90" zoomScaleSheetLayoutView="83" workbookViewId="0">
      <pane ySplit="5" topLeftCell="A6" activePane="bottomLeft" state="frozen"/>
      <selection activeCell="B21" sqref="B21"/>
      <selection pane="bottomLeft" activeCell="E10" sqref="E10"/>
    </sheetView>
  </sheetViews>
  <sheetFormatPr defaultRowHeight="14.25" x14ac:dyDescent="0.2"/>
  <cols>
    <col min="1" max="1" width="9" style="70"/>
    <col min="2" max="3" width="10" style="116" bestFit="1" customWidth="1"/>
    <col min="4" max="4" width="13.25" style="116" bestFit="1" customWidth="1"/>
    <col min="5" max="5" width="64.125" style="70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hidden="1" customWidth="1"/>
    <col min="12" max="12" width="11.625" style="70" hidden="1" customWidth="1"/>
    <col min="13" max="16" width="0" style="70" hidden="1" customWidth="1"/>
    <col min="17" max="17" width="11.625" style="70" hidden="1" customWidth="1"/>
    <col min="18" max="18" width="13.75" style="70" hidden="1" customWidth="1"/>
    <col min="19" max="19" width="10.125" style="70" bestFit="1" customWidth="1"/>
    <col min="20" max="20" width="18.25" style="70" customWidth="1"/>
    <col min="21" max="16384" width="9" style="70"/>
  </cols>
  <sheetData>
    <row r="1" spans="1:20" ht="15" customHeight="1" x14ac:dyDescent="0.2">
      <c r="B1" s="198"/>
      <c r="C1" s="199"/>
      <c r="D1" s="199"/>
      <c r="E1" s="193"/>
      <c r="F1" s="429" t="s">
        <v>65</v>
      </c>
      <c r="G1" s="430"/>
      <c r="H1" s="382" t="str">
        <f>CPUs!G1</f>
        <v>B.D.I. Serviço:</v>
      </c>
      <c r="I1" s="420">
        <f>CPUs!H1</f>
        <v>0.2339</v>
      </c>
      <c r="J1" s="194" t="s">
        <v>66</v>
      </c>
    </row>
    <row r="2" spans="1:20" ht="42.75" customHeight="1" thickBot="1" x14ac:dyDescent="0.25">
      <c r="B2" s="195"/>
      <c r="C2" s="196"/>
      <c r="D2" s="196"/>
      <c r="E2" s="197"/>
      <c r="F2" s="431" t="str">
        <f>'CPU ENSAIOS'!G2</f>
        <v>SINAPI - 09/2023 - Bahia
SICRO3 - 07/2023 - Bahia
ORSE - 09/2023 - Sergipe</v>
      </c>
      <c r="G2" s="432"/>
      <c r="H2" s="419" t="str">
        <f>CPUs!G2</f>
        <v>B.D.I. Material:</v>
      </c>
      <c r="I2" s="421">
        <f>CPUs!H2</f>
        <v>0.15</v>
      </c>
      <c r="J2" s="192" t="s">
        <v>418</v>
      </c>
    </row>
    <row r="3" spans="1:20" ht="15.75" thickBot="1" x14ac:dyDescent="0.25">
      <c r="B3" s="427"/>
      <c r="C3" s="428"/>
      <c r="D3" s="428"/>
      <c r="E3" s="428"/>
      <c r="F3" s="428"/>
      <c r="G3" s="428"/>
      <c r="H3" s="428"/>
      <c r="I3" s="428"/>
      <c r="J3" s="428"/>
    </row>
    <row r="4" spans="1:20" ht="45.75" customHeight="1" thickBot="1" x14ac:dyDescent="0.25">
      <c r="B4" s="426" t="s">
        <v>593</v>
      </c>
      <c r="C4" s="427"/>
      <c r="D4" s="427"/>
      <c r="E4" s="427"/>
      <c r="F4" s="427"/>
      <c r="G4" s="427"/>
      <c r="H4" s="427"/>
      <c r="I4" s="427"/>
      <c r="J4" s="427"/>
      <c r="S4" s="81"/>
    </row>
    <row r="5" spans="1:20" ht="30" customHeight="1" thickBot="1" x14ac:dyDescent="0.25">
      <c r="B5" s="117" t="s">
        <v>0</v>
      </c>
      <c r="C5" s="118" t="s">
        <v>67</v>
      </c>
      <c r="D5" s="118" t="s">
        <v>68</v>
      </c>
      <c r="E5" s="118" t="s">
        <v>1</v>
      </c>
      <c r="F5" s="118" t="s">
        <v>2</v>
      </c>
      <c r="G5" s="118" t="s">
        <v>3</v>
      </c>
      <c r="H5" s="118" t="s">
        <v>69</v>
      </c>
      <c r="I5" s="118" t="s">
        <v>70</v>
      </c>
      <c r="J5" s="200" t="s">
        <v>45</v>
      </c>
      <c r="K5" s="70" t="s">
        <v>96</v>
      </c>
      <c r="R5" s="81"/>
    </row>
    <row r="6" spans="1:20" ht="29.25" customHeight="1" x14ac:dyDescent="0.2">
      <c r="B6" s="352"/>
      <c r="C6" s="353"/>
      <c r="D6" s="353"/>
      <c r="E6" s="354" t="s">
        <v>97</v>
      </c>
      <c r="F6" s="354"/>
      <c r="G6" s="355"/>
      <c r="H6" s="354"/>
      <c r="I6" s="354"/>
      <c r="J6" s="356">
        <f>SUM(J7:J15)</f>
        <v>33058256.010000002</v>
      </c>
      <c r="K6" s="81" t="e">
        <f>#REF!</f>
        <v>#REF!</v>
      </c>
      <c r="L6" s="341" t="e">
        <f>J6/K6</f>
        <v>#REF!</v>
      </c>
    </row>
    <row r="7" spans="1:20" ht="29.25" customHeight="1" x14ac:dyDescent="0.2">
      <c r="A7" s="116"/>
      <c r="B7" s="357">
        <v>5</v>
      </c>
      <c r="C7" s="358"/>
      <c r="D7" s="358"/>
      <c r="E7" s="359" t="s">
        <v>281</v>
      </c>
      <c r="F7" s="359"/>
      <c r="G7" s="363"/>
      <c r="H7" s="361"/>
      <c r="I7" s="361"/>
      <c r="J7" s="362">
        <f>SUMIF('Orçamento Sintético'!$Z$8:$Z$49,"pav",'Orçamento Sintético'!$J$8:$J$49)+0.01</f>
        <v>9443725.4799999986</v>
      </c>
      <c r="K7" s="81" t="s">
        <v>414</v>
      </c>
      <c r="N7" s="70" t="s">
        <v>415</v>
      </c>
      <c r="O7" s="70">
        <f t="shared" ref="O7" si="0">J7/$J$6</f>
        <v>0.28566919794992529</v>
      </c>
      <c r="P7" s="70" t="s">
        <v>416</v>
      </c>
      <c r="Q7" s="236">
        <f ca="1">SUMIF($N$7:$O$15,P7,$O$7:$O$15)</f>
        <v>0</v>
      </c>
      <c r="R7" s="236">
        <f t="shared" ref="R7:R8" ca="1" si="1">ROUND(Q7,5)</f>
        <v>0</v>
      </c>
      <c r="T7" s="80"/>
    </row>
    <row r="8" spans="1:20" ht="29.25" customHeight="1" x14ac:dyDescent="0.2">
      <c r="A8" s="116"/>
      <c r="B8" s="357">
        <v>6</v>
      </c>
      <c r="C8" s="358"/>
      <c r="D8" s="358"/>
      <c r="E8" s="359" t="s">
        <v>590</v>
      </c>
      <c r="F8" s="359"/>
      <c r="G8" s="363"/>
      <c r="H8" s="361"/>
      <c r="I8" s="361"/>
      <c r="J8" s="362">
        <f>SUMIF('Orçamento Sintético'!$Z$8:$Z$49,"transp",'Orçamento Sintético'!$J$8:$J$49)</f>
        <v>7209750.5000000009</v>
      </c>
      <c r="P8" s="70" t="s">
        <v>417</v>
      </c>
      <c r="Q8" s="236">
        <f ca="1">SUMIF($N$7:$O$15,P8,$O$7:$O$15)</f>
        <v>0</v>
      </c>
      <c r="R8" s="236">
        <f t="shared" ca="1" si="1"/>
        <v>0</v>
      </c>
      <c r="T8" s="80"/>
    </row>
    <row r="9" spans="1:20" ht="29.25" customHeight="1" x14ac:dyDescent="0.2">
      <c r="A9" s="116"/>
      <c r="B9" s="357">
        <v>4</v>
      </c>
      <c r="C9" s="358"/>
      <c r="D9" s="358"/>
      <c r="E9" s="359" t="s">
        <v>591</v>
      </c>
      <c r="F9" s="359"/>
      <c r="G9" s="360"/>
      <c r="H9" s="361"/>
      <c r="I9" s="361"/>
      <c r="J9" s="362">
        <f>SUMIF('Orçamento Sintético'!$Z$8:$Z$49,"infra",'Orçamento Sintético'!$J$8:$J$49)</f>
        <v>6285540.7999999998</v>
      </c>
      <c r="K9" s="81"/>
      <c r="T9" s="80"/>
    </row>
    <row r="10" spans="1:20" ht="29.25" customHeight="1" x14ac:dyDescent="0.2">
      <c r="A10" s="116"/>
      <c r="B10" s="357">
        <v>7</v>
      </c>
      <c r="C10" s="358"/>
      <c r="D10" s="358"/>
      <c r="E10" s="359" t="s">
        <v>87</v>
      </c>
      <c r="F10" s="359"/>
      <c r="G10" s="363"/>
      <c r="H10" s="361"/>
      <c r="I10" s="361"/>
      <c r="J10" s="362">
        <f>SUMIF('Orçamento Sintético'!$Z$8:$Z$49,"dre",'Orçamento Sintético'!$J$8:$J$49)</f>
        <v>7550400</v>
      </c>
      <c r="K10" s="81"/>
      <c r="T10" s="80"/>
    </row>
    <row r="11" spans="1:20" ht="29.25" customHeight="1" x14ac:dyDescent="0.2">
      <c r="A11" s="116"/>
      <c r="B11" s="357">
        <v>3</v>
      </c>
      <c r="C11" s="358"/>
      <c r="D11" s="358"/>
      <c r="E11" s="359" t="s">
        <v>91</v>
      </c>
      <c r="F11" s="359"/>
      <c r="G11" s="363"/>
      <c r="H11" s="361"/>
      <c r="I11" s="361"/>
      <c r="J11" s="362">
        <f>SUMIF('Orçamento Sintético'!$Z$8:$Z$49,"ter",'Orçamento Sintético'!$J$8:$J$49)</f>
        <v>1105808</v>
      </c>
      <c r="K11" s="81"/>
      <c r="T11" s="80"/>
    </row>
    <row r="12" spans="1:20" ht="29.25" customHeight="1" x14ac:dyDescent="0.2">
      <c r="A12" s="116"/>
      <c r="B12" s="357">
        <v>8</v>
      </c>
      <c r="C12" s="213"/>
      <c r="D12" s="213"/>
      <c r="E12" s="214" t="s">
        <v>304</v>
      </c>
      <c r="F12" s="214"/>
      <c r="G12" s="215"/>
      <c r="H12" s="216"/>
      <c r="I12" s="216"/>
      <c r="J12" s="362">
        <f>SUMIF('Orçamento Sintético'!$Z$8:$Z$49,"sin",'Orçamento Sintético'!$J$8:$J$49)</f>
        <v>682677.6</v>
      </c>
      <c r="K12" s="81"/>
      <c r="T12" s="80"/>
    </row>
    <row r="13" spans="1:20" ht="29.25" customHeight="1" x14ac:dyDescent="0.2">
      <c r="A13" s="116"/>
      <c r="B13" s="357">
        <v>2</v>
      </c>
      <c r="C13" s="213"/>
      <c r="D13" s="213"/>
      <c r="E13" s="214" t="s">
        <v>4</v>
      </c>
      <c r="F13" s="214"/>
      <c r="G13" s="365"/>
      <c r="H13" s="216"/>
      <c r="I13" s="216"/>
      <c r="J13" s="362">
        <f>SUMIF('Orçamento Sintético'!$Z$8:$Z$49,"sp",'Orçamento Sintético'!$J$8:$J$49)</f>
        <v>457656.4</v>
      </c>
      <c r="K13" s="81"/>
      <c r="T13" s="80"/>
    </row>
    <row r="14" spans="1:20" ht="29.25" customHeight="1" x14ac:dyDescent="0.2">
      <c r="A14" s="116"/>
      <c r="B14" s="357">
        <v>1</v>
      </c>
      <c r="C14" s="213"/>
      <c r="D14" s="213"/>
      <c r="E14" s="214" t="s">
        <v>592</v>
      </c>
      <c r="F14" s="214"/>
      <c r="G14" s="365"/>
      <c r="H14" s="216"/>
      <c r="I14" s="216"/>
      <c r="J14" s="362">
        <f>SUMIF('Orçamento Sintético'!$Z$8:$Z$49,"proj",'Orçamento Sintético'!$J$8:$J$49)</f>
        <v>169400</v>
      </c>
      <c r="K14" s="81"/>
      <c r="T14" s="80"/>
    </row>
    <row r="15" spans="1:20" ht="29.25" customHeight="1" thickBot="1" x14ac:dyDescent="0.25">
      <c r="A15" s="116"/>
      <c r="B15" s="357">
        <v>9</v>
      </c>
      <c r="C15" s="348"/>
      <c r="D15" s="348"/>
      <c r="E15" s="349" t="s">
        <v>85</v>
      </c>
      <c r="F15" s="349"/>
      <c r="G15" s="350"/>
      <c r="H15" s="351"/>
      <c r="I15" s="351"/>
      <c r="J15" s="364">
        <f>SUMIF('Orçamento Sintético'!$Z$8:$Z$49,"sc",'Orçamento Sintético'!$J$8:$J$49)</f>
        <v>153297.22999999998</v>
      </c>
      <c r="K15" s="81"/>
      <c r="T15" s="80"/>
    </row>
  </sheetData>
  <autoFilter ref="B5:J15" xr:uid="{0B21580B-AD11-4AD6-A813-523D87A19D71}">
    <sortState xmlns:xlrd2="http://schemas.microsoft.com/office/spreadsheetml/2017/richdata2" ref="B6:J15">
      <sortCondition descending="1" ref="J5:J15"/>
    </sortState>
  </autoFilter>
  <mergeCells count="4">
    <mergeCell ref="B4:J4"/>
    <mergeCell ref="F1:G1"/>
    <mergeCell ref="F2:G2"/>
    <mergeCell ref="B3:J3"/>
  </mergeCells>
  <printOptions horizontalCentered="1"/>
  <pageMargins left="0.51181102362204722" right="0.51181102362204722" top="0.78740157480314965" bottom="0.86614173228346458" header="0.51181102362204722" footer="0.51181102362204722"/>
  <pageSetup paperSize="9" scale="77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C3A46-C651-4232-94E8-D15E045C47CE}">
  <dimension ref="A1:Z49"/>
  <sheetViews>
    <sheetView showOutlineSymbols="0" showWhiteSpace="0" view="pageBreakPreview" topLeftCell="B1" zoomScale="83" zoomScaleNormal="90" zoomScaleSheetLayoutView="83" workbookViewId="0">
      <pane ySplit="5" topLeftCell="A16" activePane="bottomLeft" state="frozen"/>
      <selection activeCell="B21" sqref="B21"/>
      <selection pane="bottomLeft" activeCell="J26" sqref="J26"/>
    </sheetView>
  </sheetViews>
  <sheetFormatPr defaultRowHeight="14.25" x14ac:dyDescent="0.2"/>
  <cols>
    <col min="1" max="1" width="9" style="70"/>
    <col min="2" max="3" width="10" style="116" bestFit="1" customWidth="1"/>
    <col min="4" max="4" width="13.25" style="116" bestFit="1" customWidth="1"/>
    <col min="5" max="5" width="60" style="70" bestFit="1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hidden="1" customWidth="1"/>
    <col min="12" max="12" width="11.625" style="70" hidden="1" customWidth="1"/>
    <col min="13" max="16" width="0" style="70" hidden="1" customWidth="1"/>
    <col min="17" max="17" width="11.625" style="70" hidden="1" customWidth="1"/>
    <col min="18" max="18" width="13.75" style="70" hidden="1" customWidth="1"/>
    <col min="19" max="19" width="10.125" style="70" bestFit="1" customWidth="1"/>
    <col min="20" max="20" width="18.25" style="70" hidden="1" customWidth="1"/>
    <col min="21" max="23" width="0" style="70" hidden="1" customWidth="1"/>
    <col min="24" max="24" width="14" style="70" hidden="1" customWidth="1"/>
    <col min="25" max="26" width="0" style="70" hidden="1" customWidth="1"/>
    <col min="27" max="16384" width="9" style="70"/>
  </cols>
  <sheetData>
    <row r="1" spans="1:26" ht="15" customHeight="1" x14ac:dyDescent="0.2">
      <c r="B1" s="198"/>
      <c r="C1" s="199"/>
      <c r="D1" s="199"/>
      <c r="E1" s="193"/>
      <c r="F1" s="429" t="s">
        <v>65</v>
      </c>
      <c r="G1" s="430"/>
      <c r="H1" s="382" t="s">
        <v>610</v>
      </c>
      <c r="I1" s="383">
        <v>0.2339</v>
      </c>
      <c r="J1" s="194" t="s">
        <v>66</v>
      </c>
    </row>
    <row r="2" spans="1:26" ht="42.75" customHeight="1" thickBot="1" x14ac:dyDescent="0.25">
      <c r="B2" s="195"/>
      <c r="C2" s="196"/>
      <c r="D2" s="196"/>
      <c r="E2" s="197"/>
      <c r="F2" s="431" t="s">
        <v>601</v>
      </c>
      <c r="G2" s="432"/>
      <c r="H2" s="384" t="s">
        <v>611</v>
      </c>
      <c r="I2" s="391">
        <v>0.15</v>
      </c>
      <c r="J2" s="192" t="s">
        <v>418</v>
      </c>
    </row>
    <row r="3" spans="1:26" ht="15" thickBot="1" x14ac:dyDescent="0.25">
      <c r="B3" s="427" t="s">
        <v>420</v>
      </c>
      <c r="C3" s="428"/>
      <c r="D3" s="428"/>
      <c r="E3" s="428"/>
      <c r="F3" s="428"/>
      <c r="G3" s="428"/>
      <c r="H3" s="428"/>
      <c r="I3" s="428"/>
      <c r="J3" s="428"/>
    </row>
    <row r="4" spans="1:26" ht="45.75" customHeight="1" thickBot="1" x14ac:dyDescent="0.25">
      <c r="B4" s="426" t="s">
        <v>421</v>
      </c>
      <c r="C4" s="427"/>
      <c r="D4" s="427"/>
      <c r="E4" s="427"/>
      <c r="F4" s="427"/>
      <c r="G4" s="427"/>
      <c r="H4" s="427"/>
      <c r="I4" s="427"/>
      <c r="J4" s="427"/>
      <c r="S4" s="81"/>
    </row>
    <row r="5" spans="1:26" ht="30" customHeight="1" thickBot="1" x14ac:dyDescent="0.25">
      <c r="B5" s="117" t="s">
        <v>0</v>
      </c>
      <c r="C5" s="118" t="s">
        <v>67</v>
      </c>
      <c r="D5" s="118" t="s">
        <v>68</v>
      </c>
      <c r="E5" s="118" t="s">
        <v>1</v>
      </c>
      <c r="F5" s="118" t="s">
        <v>2</v>
      </c>
      <c r="G5" s="118" t="s">
        <v>3</v>
      </c>
      <c r="H5" s="118" t="s">
        <v>69</v>
      </c>
      <c r="I5" s="118" t="s">
        <v>70</v>
      </c>
      <c r="J5" s="200" t="s">
        <v>45</v>
      </c>
      <c r="K5" s="70" t="s">
        <v>96</v>
      </c>
      <c r="R5" s="81"/>
    </row>
    <row r="6" spans="1:26" ht="29.25" customHeight="1" x14ac:dyDescent="0.2">
      <c r="B6" s="119"/>
      <c r="C6" s="120"/>
      <c r="D6" s="120"/>
      <c r="E6" s="121" t="s">
        <v>97</v>
      </c>
      <c r="F6" s="121"/>
      <c r="G6" s="122"/>
      <c r="H6" s="121"/>
      <c r="I6" s="121"/>
      <c r="J6" s="134">
        <f>+J9+J7+J14+J21+J39+J42+J46</f>
        <v>33058256</v>
      </c>
      <c r="K6" s="81">
        <f>G15</f>
        <v>308000</v>
      </c>
      <c r="L6" s="341">
        <f>J6/K6</f>
        <v>107.33199999999999</v>
      </c>
      <c r="T6" s="80">
        <f>J6*2</f>
        <v>66116512</v>
      </c>
    </row>
    <row r="7" spans="1:26" ht="29.25" customHeight="1" x14ac:dyDescent="0.2">
      <c r="B7" s="112">
        <v>1</v>
      </c>
      <c r="C7" s="113"/>
      <c r="D7" s="113"/>
      <c r="E7" s="71" t="s">
        <v>90</v>
      </c>
      <c r="F7" s="71"/>
      <c r="G7" s="94"/>
      <c r="H7" s="73"/>
      <c r="I7" s="73"/>
      <c r="J7" s="135">
        <f>SUBTOTAL(9,J8)</f>
        <v>169400</v>
      </c>
      <c r="K7" s="81"/>
    </row>
    <row r="8" spans="1:26" ht="29.25" customHeight="1" x14ac:dyDescent="0.2">
      <c r="A8" s="116">
        <f>VLOOKUP(J8,$T$8:$U$49,2,0)</f>
        <v>18</v>
      </c>
      <c r="B8" s="114" t="s">
        <v>272</v>
      </c>
      <c r="C8" s="75" t="s">
        <v>478</v>
      </c>
      <c r="D8" s="75" t="s">
        <v>71</v>
      </c>
      <c r="E8" s="74" t="s">
        <v>477</v>
      </c>
      <c r="F8" s="75" t="s">
        <v>84</v>
      </c>
      <c r="G8" s="93">
        <f>'MC '!D6</f>
        <v>308000</v>
      </c>
      <c r="H8" s="76">
        <f>'Projeto Executivo'!H26</f>
        <v>0.45</v>
      </c>
      <c r="I8" s="210">
        <f>TRUNC(H8 * (1 + $I$1), 2)</f>
        <v>0.55000000000000004</v>
      </c>
      <c r="J8" s="136">
        <f>TRUNC(G8 * I8, 2)</f>
        <v>169400</v>
      </c>
      <c r="K8" s="81" t="s">
        <v>414</v>
      </c>
      <c r="N8" s="70" t="s">
        <v>415</v>
      </c>
      <c r="O8" s="70">
        <f t="shared" ref="O8:O48" si="0">J8/$J$6</f>
        <v>5.1242872582268105E-3</v>
      </c>
      <c r="P8" s="70" t="s">
        <v>416</v>
      </c>
      <c r="Q8" s="236">
        <f ca="1">SUMIF($N$8:$O$49,P8,$O$8:$O$49)</f>
        <v>0.66482807713752334</v>
      </c>
      <c r="R8" s="236">
        <f t="shared" ref="R8:R10" ca="1" si="1">ROUND(Q8,5)</f>
        <v>0.66483000000000003</v>
      </c>
      <c r="T8" s="80">
        <f>J8</f>
        <v>169400</v>
      </c>
      <c r="U8" s="70">
        <f>_xlfn.RANK.EQ(T8,$T$8:$T$49,0)</f>
        <v>18</v>
      </c>
      <c r="X8" s="81">
        <f>TRUNC(G8*I8,2)</f>
        <v>169400</v>
      </c>
      <c r="Z8" s="70" t="s">
        <v>649</v>
      </c>
    </row>
    <row r="9" spans="1:26" ht="29.25" customHeight="1" x14ac:dyDescent="0.2">
      <c r="A9" s="116"/>
      <c r="B9" s="112">
        <v>2</v>
      </c>
      <c r="C9" s="113"/>
      <c r="D9" s="113"/>
      <c r="E9" s="71" t="s">
        <v>4</v>
      </c>
      <c r="F9" s="71"/>
      <c r="G9" s="72"/>
      <c r="H9" s="73"/>
      <c r="I9" s="73"/>
      <c r="J9" s="135">
        <f>SUBTOTAL(9,J10:J13)</f>
        <v>457656.4</v>
      </c>
      <c r="P9" s="70" t="s">
        <v>417</v>
      </c>
      <c r="Q9" s="236">
        <f ca="1">SUMIF($N$8:$O$49,P9,$O$8:$O$49)</f>
        <v>0.23251752905537426</v>
      </c>
      <c r="R9" s="236">
        <f t="shared" ca="1" si="1"/>
        <v>0.23252</v>
      </c>
      <c r="T9" s="80"/>
      <c r="X9" s="81">
        <f t="shared" ref="X9:X49" si="2">TRUNC(G9*I9,2)</f>
        <v>0</v>
      </c>
    </row>
    <row r="10" spans="1:26" ht="29.25" customHeight="1" x14ac:dyDescent="0.2">
      <c r="A10" s="116">
        <f>VLOOKUP(J10,$T$8:$U$49,2,0)</f>
        <v>27</v>
      </c>
      <c r="B10" s="114" t="s">
        <v>273</v>
      </c>
      <c r="C10" s="75" t="s">
        <v>484</v>
      </c>
      <c r="D10" s="75" t="s">
        <v>71</v>
      </c>
      <c r="E10" s="74" t="s">
        <v>521</v>
      </c>
      <c r="F10" s="75" t="s">
        <v>5</v>
      </c>
      <c r="G10" s="93">
        <f>'MC '!D10</f>
        <v>165704</v>
      </c>
      <c r="H10" s="76">
        <v>0.53</v>
      </c>
      <c r="I10" s="210">
        <f t="shared" ref="I10:I13" si="3">TRUNC(H10 * (1 + $I$1), 2)</f>
        <v>0.65</v>
      </c>
      <c r="J10" s="136">
        <f>TRUNC(G10 * I10, 2)</f>
        <v>107707.6</v>
      </c>
      <c r="K10" s="81"/>
      <c r="N10" s="70" t="s">
        <v>415</v>
      </c>
      <c r="O10" s="70">
        <f t="shared" si="0"/>
        <v>3.2581150076398465E-3</v>
      </c>
      <c r="P10" s="70" t="s">
        <v>22</v>
      </c>
      <c r="Q10" s="236">
        <f ca="1">SUMIF($N$8:$O$49,P10,$O$8:$O$49)</f>
        <v>5.8398240971937541E-2</v>
      </c>
      <c r="R10" s="236">
        <f t="shared" ca="1" si="1"/>
        <v>5.8400000000000001E-2</v>
      </c>
      <c r="T10" s="80">
        <f t="shared" ref="T10:T49" si="4">J10</f>
        <v>107707.6</v>
      </c>
      <c r="U10" s="70">
        <f>_xlfn.RANK.EQ(T10,$T$8:$T$49,0)</f>
        <v>27</v>
      </c>
      <c r="X10" s="81">
        <f t="shared" si="2"/>
        <v>107707.6</v>
      </c>
      <c r="Z10" s="70" t="s">
        <v>650</v>
      </c>
    </row>
    <row r="11" spans="1:26" ht="29.25" customHeight="1" x14ac:dyDescent="0.2">
      <c r="A11" s="116">
        <f>VLOOKUP(J11,$T$8:$U$49,2,0)</f>
        <v>29</v>
      </c>
      <c r="B11" s="114" t="s">
        <v>274</v>
      </c>
      <c r="C11" s="75" t="s">
        <v>259</v>
      </c>
      <c r="D11" s="75" t="s">
        <v>75</v>
      </c>
      <c r="E11" s="74" t="s">
        <v>260</v>
      </c>
      <c r="F11" s="75" t="s">
        <v>7</v>
      </c>
      <c r="G11" s="93">
        <f>'MC '!D14</f>
        <v>142.56</v>
      </c>
      <c r="H11" s="76">
        <v>449.3</v>
      </c>
      <c r="I11" s="210">
        <f t="shared" si="3"/>
        <v>554.39</v>
      </c>
      <c r="J11" s="136">
        <f t="shared" ref="J11:J13" si="5">TRUNC(G11 * I11, 2)</f>
        <v>79033.83</v>
      </c>
      <c r="K11" s="81"/>
      <c r="N11" s="70" t="s">
        <v>415</v>
      </c>
      <c r="O11" s="70">
        <f t="shared" si="0"/>
        <v>2.3907440852294205E-3</v>
      </c>
      <c r="P11" s="70" t="s">
        <v>415</v>
      </c>
      <c r="Q11" s="236">
        <f ca="1">SUMIF($N$8:$O$49,P11,$O$8:$O$49)</f>
        <v>4.4256152835164687E-2</v>
      </c>
      <c r="R11" s="236">
        <f t="shared" ref="R11" ca="1" si="6">ROUND(Q11,5)</f>
        <v>4.4260000000000001E-2</v>
      </c>
      <c r="T11" s="80">
        <f t="shared" si="4"/>
        <v>79033.83</v>
      </c>
      <c r="U11" s="70">
        <f>_xlfn.RANK.EQ(T11,$T$8:$T$49,0)</f>
        <v>29</v>
      </c>
      <c r="X11" s="81">
        <f t="shared" si="2"/>
        <v>79033.83</v>
      </c>
      <c r="Z11" s="70" t="s">
        <v>650</v>
      </c>
    </row>
    <row r="12" spans="1:26" ht="29.25" customHeight="1" x14ac:dyDescent="0.2">
      <c r="A12" s="116">
        <f>VLOOKUP(J12,$T$8:$U$49,2,0)</f>
        <v>20</v>
      </c>
      <c r="B12" s="114" t="s">
        <v>275</v>
      </c>
      <c r="C12" s="75" t="s">
        <v>485</v>
      </c>
      <c r="D12" s="75" t="s">
        <v>71</v>
      </c>
      <c r="E12" s="74" t="s">
        <v>261</v>
      </c>
      <c r="F12" s="75" t="s">
        <v>8</v>
      </c>
      <c r="G12" s="93">
        <v>1</v>
      </c>
      <c r="H12" s="76">
        <f>CPUs!J30</f>
        <v>112860</v>
      </c>
      <c r="I12" s="210">
        <f t="shared" si="3"/>
        <v>139257.95000000001</v>
      </c>
      <c r="J12" s="136">
        <f t="shared" si="5"/>
        <v>139257.95000000001</v>
      </c>
      <c r="K12" s="81"/>
      <c r="N12" s="70" t="s">
        <v>415</v>
      </c>
      <c r="O12" s="70">
        <f t="shared" si="0"/>
        <v>4.2125014096327405E-3</v>
      </c>
      <c r="Q12" s="236">
        <f ca="1">SUM(Q8:Q11)</f>
        <v>0.99999999999999989</v>
      </c>
      <c r="R12" s="236">
        <f ca="1">SUM(R8:R11)</f>
        <v>1.0000100000000001</v>
      </c>
      <c r="T12" s="80">
        <f t="shared" si="4"/>
        <v>139257.95000000001</v>
      </c>
      <c r="U12" s="70">
        <f>_xlfn.RANK.EQ(T12,$T$8:$T$49,0)</f>
        <v>20</v>
      </c>
      <c r="X12" s="81">
        <f t="shared" si="2"/>
        <v>139257.95000000001</v>
      </c>
      <c r="Z12" s="70" t="s">
        <v>650</v>
      </c>
    </row>
    <row r="13" spans="1:26" ht="29.25" customHeight="1" x14ac:dyDescent="0.2">
      <c r="A13" s="116">
        <f>VLOOKUP(J13,$T$8:$U$49,2,0)</f>
        <v>22</v>
      </c>
      <c r="B13" s="114" t="s">
        <v>276</v>
      </c>
      <c r="C13" s="75" t="s">
        <v>486</v>
      </c>
      <c r="D13" s="75" t="s">
        <v>71</v>
      </c>
      <c r="E13" s="74" t="s">
        <v>9</v>
      </c>
      <c r="F13" s="75" t="s">
        <v>10</v>
      </c>
      <c r="G13" s="93">
        <f>'MC '!D18</f>
        <v>22</v>
      </c>
      <c r="H13" s="76">
        <v>4850</v>
      </c>
      <c r="I13" s="210">
        <f t="shared" si="3"/>
        <v>5984.41</v>
      </c>
      <c r="J13" s="136">
        <f t="shared" si="5"/>
        <v>131657.01999999999</v>
      </c>
      <c r="K13" s="81"/>
      <c r="N13" s="70" t="s">
        <v>415</v>
      </c>
      <c r="O13" s="70">
        <f t="shared" si="0"/>
        <v>3.9825760923383252E-3</v>
      </c>
      <c r="T13" s="80">
        <f t="shared" si="4"/>
        <v>131657.01999999999</v>
      </c>
      <c r="U13" s="70">
        <f>_xlfn.RANK.EQ(T13,$T$8:$T$49,0)</f>
        <v>22</v>
      </c>
      <c r="X13" s="81">
        <f t="shared" si="2"/>
        <v>131657.01999999999</v>
      </c>
      <c r="Z13" s="70" t="s">
        <v>650</v>
      </c>
    </row>
    <row r="14" spans="1:26" ht="29.25" customHeight="1" x14ac:dyDescent="0.2">
      <c r="A14" s="116"/>
      <c r="B14" s="112">
        <v>3</v>
      </c>
      <c r="C14" s="113"/>
      <c r="D14" s="113"/>
      <c r="E14" s="71" t="s">
        <v>91</v>
      </c>
      <c r="F14" s="71"/>
      <c r="G14" s="94"/>
      <c r="H14" s="73"/>
      <c r="I14" s="73"/>
      <c r="J14" s="135">
        <f>SUBTOTAL(9,J15:J20)</f>
        <v>1930544</v>
      </c>
      <c r="K14" s="81"/>
      <c r="T14" s="80"/>
      <c r="X14" s="81">
        <f t="shared" si="2"/>
        <v>0</v>
      </c>
    </row>
    <row r="15" spans="1:26" ht="29.25" customHeight="1" x14ac:dyDescent="0.2">
      <c r="A15" s="116">
        <f t="shared" ref="A15:A20" si="7">VLOOKUP(J15,$T$8:$U$49,2,0)</f>
        <v>19</v>
      </c>
      <c r="B15" s="114" t="s">
        <v>57</v>
      </c>
      <c r="C15" s="75" t="s">
        <v>74</v>
      </c>
      <c r="D15" s="75" t="s">
        <v>75</v>
      </c>
      <c r="E15" s="74" t="s">
        <v>12</v>
      </c>
      <c r="F15" s="75" t="s">
        <v>7</v>
      </c>
      <c r="G15" s="93">
        <f>'MC '!D20</f>
        <v>308000</v>
      </c>
      <c r="H15" s="76">
        <v>0.42</v>
      </c>
      <c r="I15" s="210">
        <f t="shared" ref="I15:I20" si="8">TRUNC(H15 * (1 + $I$1), 2)</f>
        <v>0.51</v>
      </c>
      <c r="J15" s="136">
        <f>TRUNC(G15 * I15, 2)</f>
        <v>157080</v>
      </c>
      <c r="K15" s="81"/>
      <c r="N15" s="70" t="s">
        <v>22</v>
      </c>
      <c r="O15" s="70">
        <f t="shared" si="0"/>
        <v>4.7516118212648601E-3</v>
      </c>
      <c r="T15" s="80">
        <f t="shared" si="4"/>
        <v>157080</v>
      </c>
      <c r="U15" s="70">
        <f t="shared" ref="U15:U20" si="9">_xlfn.RANK.EQ(T15,$T$8:$T$49,0)</f>
        <v>19</v>
      </c>
      <c r="X15" s="81">
        <f t="shared" si="2"/>
        <v>157080</v>
      </c>
      <c r="Z15" s="70" t="s">
        <v>647</v>
      </c>
    </row>
    <row r="16" spans="1:26" ht="29.25" customHeight="1" x14ac:dyDescent="0.2">
      <c r="A16" s="116">
        <f t="shared" si="7"/>
        <v>12</v>
      </c>
      <c r="B16" s="114" t="s">
        <v>60</v>
      </c>
      <c r="C16" s="75" t="s">
        <v>78</v>
      </c>
      <c r="D16" s="75" t="s">
        <v>77</v>
      </c>
      <c r="E16" s="74" t="s">
        <v>16</v>
      </c>
      <c r="F16" s="75" t="s">
        <v>7</v>
      </c>
      <c r="G16" s="93">
        <f>'MC '!D23</f>
        <v>308000</v>
      </c>
      <c r="H16" s="76">
        <v>1.08</v>
      </c>
      <c r="I16" s="210">
        <f t="shared" si="8"/>
        <v>1.33</v>
      </c>
      <c r="J16" s="136">
        <f>TRUNC(G16 * I16, 2)</f>
        <v>409640</v>
      </c>
      <c r="K16" s="81"/>
      <c r="N16" s="70" t="s">
        <v>22</v>
      </c>
      <c r="O16" s="70">
        <f t="shared" si="0"/>
        <v>1.2391458278984833E-2</v>
      </c>
      <c r="T16" s="80">
        <f t="shared" si="4"/>
        <v>409640</v>
      </c>
      <c r="U16" s="70">
        <f t="shared" si="9"/>
        <v>12</v>
      </c>
      <c r="X16" s="81">
        <f t="shared" si="2"/>
        <v>409640</v>
      </c>
      <c r="Z16" s="70" t="s">
        <v>647</v>
      </c>
    </row>
    <row r="17" spans="1:26" ht="39.75" customHeight="1" x14ac:dyDescent="0.2">
      <c r="A17" s="116">
        <f t="shared" si="7"/>
        <v>16</v>
      </c>
      <c r="B17" s="114" t="s">
        <v>277</v>
      </c>
      <c r="C17" s="75">
        <v>5914351</v>
      </c>
      <c r="D17" s="75" t="s">
        <v>77</v>
      </c>
      <c r="E17" s="74" t="s">
        <v>491</v>
      </c>
      <c r="F17" s="75" t="s">
        <v>22</v>
      </c>
      <c r="G17" s="93">
        <f>'MC '!D26</f>
        <v>92400</v>
      </c>
      <c r="H17" s="76">
        <v>2.4700000000000002</v>
      </c>
      <c r="I17" s="210">
        <f t="shared" si="8"/>
        <v>3.04</v>
      </c>
      <c r="J17" s="136">
        <f>TRUNC(G17 * I17, 2)</f>
        <v>280896</v>
      </c>
      <c r="K17" s="81"/>
      <c r="N17" s="70" t="s">
        <v>22</v>
      </c>
      <c r="O17" s="70">
        <f t="shared" si="0"/>
        <v>8.4969999627324561E-3</v>
      </c>
      <c r="T17" s="80">
        <f t="shared" si="4"/>
        <v>280896</v>
      </c>
      <c r="U17" s="70">
        <f t="shared" si="9"/>
        <v>16</v>
      </c>
      <c r="X17" s="81">
        <f t="shared" si="2"/>
        <v>280896</v>
      </c>
      <c r="Z17" s="70" t="s">
        <v>647</v>
      </c>
    </row>
    <row r="18" spans="1:26" ht="29.25" customHeight="1" x14ac:dyDescent="0.2">
      <c r="A18" s="116">
        <f t="shared" si="7"/>
        <v>13</v>
      </c>
      <c r="B18" s="114" t="s">
        <v>278</v>
      </c>
      <c r="C18" s="75">
        <v>5915320</v>
      </c>
      <c r="D18" s="75" t="s">
        <v>77</v>
      </c>
      <c r="E18" s="74" t="s">
        <v>511</v>
      </c>
      <c r="F18" s="75" t="s">
        <v>15</v>
      </c>
      <c r="G18" s="93">
        <f>'MC '!D31</f>
        <v>462000</v>
      </c>
      <c r="H18" s="76">
        <v>0.64</v>
      </c>
      <c r="I18" s="210">
        <f t="shared" si="8"/>
        <v>0.78</v>
      </c>
      <c r="J18" s="136">
        <f t="shared" ref="J18:J19" si="10">TRUNC(G18 * I18, 2)</f>
        <v>360360</v>
      </c>
      <c r="K18" s="81"/>
      <c r="N18" s="70" t="s">
        <v>22</v>
      </c>
      <c r="O18" s="70">
        <f t="shared" si="0"/>
        <v>1.0900756531137033E-2</v>
      </c>
      <c r="T18" s="80">
        <f t="shared" si="4"/>
        <v>360360</v>
      </c>
      <c r="U18" s="70">
        <f t="shared" si="9"/>
        <v>13</v>
      </c>
      <c r="X18" s="81">
        <f t="shared" si="2"/>
        <v>360360</v>
      </c>
      <c r="Z18" s="70" t="s">
        <v>648</v>
      </c>
    </row>
    <row r="19" spans="1:26" ht="29.25" customHeight="1" x14ac:dyDescent="0.2">
      <c r="A19" s="116">
        <f t="shared" si="7"/>
        <v>10</v>
      </c>
      <c r="B19" s="114" t="s">
        <v>279</v>
      </c>
      <c r="C19" s="75">
        <v>5915321</v>
      </c>
      <c r="D19" s="75" t="s">
        <v>77</v>
      </c>
      <c r="E19" s="74" t="s">
        <v>580</v>
      </c>
      <c r="F19" s="75" t="s">
        <v>15</v>
      </c>
      <c r="G19" s="93">
        <f>'MC '!D34</f>
        <v>924000</v>
      </c>
      <c r="H19" s="76">
        <v>0.53</v>
      </c>
      <c r="I19" s="210">
        <f t="shared" si="8"/>
        <v>0.65</v>
      </c>
      <c r="J19" s="136">
        <f t="shared" si="10"/>
        <v>600600</v>
      </c>
      <c r="K19" s="81"/>
      <c r="N19" s="70" t="s">
        <v>22</v>
      </c>
      <c r="O19" s="70">
        <f t="shared" si="0"/>
        <v>1.8167927551895054E-2</v>
      </c>
      <c r="T19" s="80">
        <f t="shared" si="4"/>
        <v>600600</v>
      </c>
      <c r="U19" s="70">
        <f t="shared" si="9"/>
        <v>10</v>
      </c>
      <c r="X19" s="81">
        <f t="shared" si="2"/>
        <v>600600</v>
      </c>
      <c r="Z19" s="70" t="s">
        <v>648</v>
      </c>
    </row>
    <row r="20" spans="1:26" ht="29.25" customHeight="1" thickBot="1" x14ac:dyDescent="0.25">
      <c r="A20" s="116">
        <f t="shared" si="7"/>
        <v>24</v>
      </c>
      <c r="B20" s="114" t="s">
        <v>492</v>
      </c>
      <c r="C20" s="75" t="s">
        <v>76</v>
      </c>
      <c r="D20" s="75" t="s">
        <v>77</v>
      </c>
      <c r="E20" s="74" t="s">
        <v>13</v>
      </c>
      <c r="F20" s="75" t="s">
        <v>14</v>
      </c>
      <c r="G20" s="93">
        <f>'MC '!D37</f>
        <v>61600</v>
      </c>
      <c r="H20" s="76">
        <v>1.61</v>
      </c>
      <c r="I20" s="210">
        <f t="shared" si="8"/>
        <v>1.98</v>
      </c>
      <c r="J20" s="136">
        <f>TRUNC(G20 * I20, 2)</f>
        <v>121968</v>
      </c>
      <c r="K20" s="81"/>
      <c r="N20" s="70" t="s">
        <v>22</v>
      </c>
      <c r="O20" s="70">
        <f t="shared" si="0"/>
        <v>3.6894868259233033E-3</v>
      </c>
      <c r="T20" s="80">
        <f t="shared" si="4"/>
        <v>121968</v>
      </c>
      <c r="U20" s="70">
        <f t="shared" si="9"/>
        <v>24</v>
      </c>
      <c r="X20" s="81">
        <f t="shared" si="2"/>
        <v>121968</v>
      </c>
      <c r="Z20" s="70" t="s">
        <v>647</v>
      </c>
    </row>
    <row r="21" spans="1:26" ht="29.25" customHeight="1" x14ac:dyDescent="0.2">
      <c r="A21" s="116"/>
      <c r="B21" s="119">
        <v>4</v>
      </c>
      <c r="C21" s="120"/>
      <c r="D21" s="120"/>
      <c r="E21" s="121" t="s">
        <v>281</v>
      </c>
      <c r="F21" s="121"/>
      <c r="G21" s="201"/>
      <c r="H21" s="202"/>
      <c r="I21" s="202"/>
      <c r="J21" s="134">
        <f>J22+J28+J33</f>
        <v>21978056.77</v>
      </c>
      <c r="K21" s="81"/>
      <c r="T21" s="80"/>
      <c r="X21" s="81">
        <f t="shared" si="2"/>
        <v>0</v>
      </c>
    </row>
    <row r="22" spans="1:26" ht="29.25" customHeight="1" x14ac:dyDescent="0.2">
      <c r="A22" s="116"/>
      <c r="B22" s="112" t="s">
        <v>263</v>
      </c>
      <c r="C22" s="113"/>
      <c r="D22" s="113"/>
      <c r="E22" s="71" t="s">
        <v>283</v>
      </c>
      <c r="F22" s="71"/>
      <c r="G22" s="94"/>
      <c r="H22" s="73"/>
      <c r="I22" s="73"/>
      <c r="J22" s="135">
        <f>SUBTOTAL(9,J23:J27)</f>
        <v>11598550.129999999</v>
      </c>
      <c r="K22" s="81"/>
      <c r="T22" s="80"/>
      <c r="X22" s="81">
        <f t="shared" si="2"/>
        <v>0</v>
      </c>
    </row>
    <row r="23" spans="1:26" ht="29.25" customHeight="1" x14ac:dyDescent="0.2">
      <c r="A23" s="116">
        <f>VLOOKUP(J23,$T$8:$U$49,2,0)</f>
        <v>14</v>
      </c>
      <c r="B23" s="114" t="s">
        <v>289</v>
      </c>
      <c r="C23" s="75" t="s">
        <v>79</v>
      </c>
      <c r="D23" s="75" t="s">
        <v>77</v>
      </c>
      <c r="E23" s="74" t="s">
        <v>17</v>
      </c>
      <c r="F23" s="75" t="s">
        <v>14</v>
      </c>
      <c r="G23" s="93">
        <f>'MC '!D39</f>
        <v>24640</v>
      </c>
      <c r="H23" s="76">
        <v>10.84</v>
      </c>
      <c r="I23" s="210">
        <f t="shared" ref="I23:I27" si="11">TRUNC(H23 * (1 + $I$1), 2)</f>
        <v>13.37</v>
      </c>
      <c r="J23" s="136">
        <f>TRUNC(G23 * I23, 2)</f>
        <v>329436.79999999999</v>
      </c>
      <c r="K23" s="81"/>
      <c r="N23" s="70" t="s">
        <v>416</v>
      </c>
      <c r="O23" s="70">
        <f t="shared" si="0"/>
        <v>9.9653411843625382E-3</v>
      </c>
      <c r="T23" s="80">
        <f t="shared" si="4"/>
        <v>329436.79999999999</v>
      </c>
      <c r="U23" s="70">
        <f>_xlfn.RANK.EQ(T23,$T$8:$T$49,0)</f>
        <v>14</v>
      </c>
      <c r="X23" s="81">
        <f t="shared" si="2"/>
        <v>329436.79999999999</v>
      </c>
      <c r="Z23" s="70" t="s">
        <v>651</v>
      </c>
    </row>
    <row r="24" spans="1:26" ht="29.25" customHeight="1" x14ac:dyDescent="0.2">
      <c r="A24" s="116">
        <f>VLOOKUP(J24,$T$8:$U$49,2,0)</f>
        <v>8</v>
      </c>
      <c r="B24" s="114" t="s">
        <v>290</v>
      </c>
      <c r="C24" s="75">
        <v>4011227</v>
      </c>
      <c r="D24" s="75" t="s">
        <v>77</v>
      </c>
      <c r="E24" s="74" t="s">
        <v>503</v>
      </c>
      <c r="F24" s="75" t="s">
        <v>14</v>
      </c>
      <c r="G24" s="93">
        <f>'MC '!D43</f>
        <v>61600</v>
      </c>
      <c r="H24" s="76">
        <v>11.99</v>
      </c>
      <c r="I24" s="210">
        <f t="shared" si="11"/>
        <v>14.79</v>
      </c>
      <c r="J24" s="136">
        <f t="shared" ref="J24:J25" si="12">TRUNC(G24 * I24, 2)</f>
        <v>911064</v>
      </c>
      <c r="K24" s="81"/>
      <c r="N24" s="70" t="s">
        <v>416</v>
      </c>
      <c r="O24" s="70">
        <f t="shared" si="0"/>
        <v>2.7559348563336191E-2</v>
      </c>
      <c r="T24" s="80">
        <f t="shared" si="4"/>
        <v>911064</v>
      </c>
      <c r="U24" s="70">
        <f>_xlfn.RANK.EQ(T24,$T$8:$T$49,0)</f>
        <v>8</v>
      </c>
      <c r="X24" s="81">
        <f t="shared" si="2"/>
        <v>911064</v>
      </c>
      <c r="Z24" s="70" t="s">
        <v>651</v>
      </c>
    </row>
    <row r="25" spans="1:26" ht="29.25" customHeight="1" x14ac:dyDescent="0.2">
      <c r="A25" s="116">
        <f>VLOOKUP(J25,$T$8:$U$49,2,0)</f>
        <v>2</v>
      </c>
      <c r="B25" s="114" t="s">
        <v>291</v>
      </c>
      <c r="C25" s="75">
        <v>4011256</v>
      </c>
      <c r="D25" s="75" t="s">
        <v>77</v>
      </c>
      <c r="E25" s="74" t="s">
        <v>512</v>
      </c>
      <c r="F25" s="75" t="s">
        <v>14</v>
      </c>
      <c r="G25" s="93">
        <f>'MC '!D46</f>
        <v>61600</v>
      </c>
      <c r="H25" s="76">
        <v>66.38</v>
      </c>
      <c r="I25" s="210">
        <f t="shared" si="11"/>
        <v>81.900000000000006</v>
      </c>
      <c r="J25" s="136">
        <f t="shared" si="12"/>
        <v>5045040</v>
      </c>
      <c r="K25" s="81"/>
      <c r="L25" s="82">
        <f>G25*0.3</f>
        <v>18480</v>
      </c>
      <c r="N25" s="70" t="s">
        <v>416</v>
      </c>
      <c r="O25" s="70">
        <f t="shared" si="0"/>
        <v>0.15261059143591846</v>
      </c>
      <c r="T25" s="80">
        <f t="shared" si="4"/>
        <v>5045040</v>
      </c>
      <c r="U25" s="70">
        <f>_xlfn.RANK.EQ(T25,$T$8:$T$49,0)</f>
        <v>2</v>
      </c>
      <c r="X25" s="81">
        <f t="shared" si="2"/>
        <v>5045040</v>
      </c>
      <c r="Z25" s="70" t="s">
        <v>651</v>
      </c>
    </row>
    <row r="26" spans="1:26" ht="29.25" customHeight="1" x14ac:dyDescent="0.2">
      <c r="A26" s="116">
        <f>VLOOKUP(J26,$T$8:$U$49,2,0)</f>
        <v>7</v>
      </c>
      <c r="B26" s="114" t="s">
        <v>292</v>
      </c>
      <c r="C26" s="75">
        <v>5915320</v>
      </c>
      <c r="D26" s="75" t="s">
        <v>77</v>
      </c>
      <c r="E26" s="74" t="s">
        <v>604</v>
      </c>
      <c r="F26" s="75" t="s">
        <v>15</v>
      </c>
      <c r="G26" s="93">
        <f>'MC '!D49+'MC '!D59</f>
        <v>1410604.14</v>
      </c>
      <c r="H26" s="76">
        <v>0.64</v>
      </c>
      <c r="I26" s="210">
        <f t="shared" si="11"/>
        <v>0.78</v>
      </c>
      <c r="J26" s="136">
        <f>ROUND(G26 * I26, 2)</f>
        <v>1100271.23</v>
      </c>
      <c r="K26" s="81"/>
      <c r="N26" s="70" t="s">
        <v>416</v>
      </c>
      <c r="O26" s="70">
        <f t="shared" si="0"/>
        <v>3.3282797192931167E-2</v>
      </c>
      <c r="T26" s="80">
        <f t="shared" si="4"/>
        <v>1100271.23</v>
      </c>
      <c r="U26" s="70">
        <f>_xlfn.RANK.EQ(T26,$T$8:$T$49,0)</f>
        <v>7</v>
      </c>
      <c r="X26" s="81">
        <f t="shared" si="2"/>
        <v>1100271.22</v>
      </c>
      <c r="Z26" s="70" t="s">
        <v>648</v>
      </c>
    </row>
    <row r="27" spans="1:26" ht="29.25" customHeight="1" x14ac:dyDescent="0.2">
      <c r="A27" s="116">
        <f>VLOOKUP(J27,$T$8:$U$49,2,0)</f>
        <v>4</v>
      </c>
      <c r="B27" s="114" t="s">
        <v>499</v>
      </c>
      <c r="C27" s="75">
        <v>5915321</v>
      </c>
      <c r="D27" s="75" t="s">
        <v>77</v>
      </c>
      <c r="E27" s="74" t="s">
        <v>603</v>
      </c>
      <c r="F27" s="75" t="s">
        <v>15</v>
      </c>
      <c r="G27" s="93">
        <f>'MC '!D54+'MC '!D63</f>
        <v>6481135.54</v>
      </c>
      <c r="H27" s="76">
        <v>0.53</v>
      </c>
      <c r="I27" s="210">
        <f t="shared" si="11"/>
        <v>0.65</v>
      </c>
      <c r="J27" s="136">
        <f>TRUNC(G27 * I27, 2)</f>
        <v>4212738.0999999996</v>
      </c>
      <c r="K27" s="81"/>
      <c r="N27" s="70" t="s">
        <v>416</v>
      </c>
      <c r="O27" s="70">
        <f t="shared" si="0"/>
        <v>0.12743376722595406</v>
      </c>
      <c r="T27" s="80">
        <f t="shared" si="4"/>
        <v>4212738.0999999996</v>
      </c>
      <c r="U27" s="70">
        <f>_xlfn.RANK.EQ(T27,$T$8:$T$49,0)</f>
        <v>4</v>
      </c>
      <c r="X27" s="81">
        <f t="shared" si="2"/>
        <v>4212738.0999999996</v>
      </c>
      <c r="Z27" s="70" t="s">
        <v>648</v>
      </c>
    </row>
    <row r="28" spans="1:26" ht="29.25" customHeight="1" x14ac:dyDescent="0.2">
      <c r="A28" s="116"/>
      <c r="B28" s="112" t="s">
        <v>264</v>
      </c>
      <c r="C28" s="113"/>
      <c r="D28" s="113"/>
      <c r="E28" s="71" t="s">
        <v>88</v>
      </c>
      <c r="F28" s="71"/>
      <c r="G28" s="94"/>
      <c r="H28" s="73"/>
      <c r="I28" s="73"/>
      <c r="J28" s="135">
        <f>SUBTOTAL(9,J29:J32)</f>
        <v>7380746.3900000006</v>
      </c>
      <c r="K28" s="81"/>
      <c r="T28" s="80"/>
      <c r="X28" s="81">
        <f t="shared" si="2"/>
        <v>0</v>
      </c>
    </row>
    <row r="29" spans="1:26" ht="29.25" customHeight="1" x14ac:dyDescent="0.2">
      <c r="A29" s="116">
        <f>VLOOKUP(J29,$T$8:$U$49,2,0)</f>
        <v>5</v>
      </c>
      <c r="B29" s="115" t="s">
        <v>285</v>
      </c>
      <c r="C29" s="78" t="s">
        <v>80</v>
      </c>
      <c r="D29" s="78" t="s">
        <v>71</v>
      </c>
      <c r="E29" s="77" t="s">
        <v>63</v>
      </c>
      <c r="F29" s="78" t="s">
        <v>22</v>
      </c>
      <c r="G29" s="95">
        <f>'MC '!D68</f>
        <v>355.87</v>
      </c>
      <c r="H29" s="79">
        <f>'Mat. Betuminoso'!F14</f>
        <v>5310</v>
      </c>
      <c r="I29" s="95">
        <f t="shared" ref="I29:I30" si="13">TRUNC(H29 * (1 + $I$2), 2)</f>
        <v>6106.5</v>
      </c>
      <c r="J29" s="137">
        <f>TRUNC(G29 * TRUNC(H29 * (1 + 15 / 100), 2), 2)</f>
        <v>2173120.15</v>
      </c>
      <c r="K29" s="81"/>
      <c r="N29" s="70" t="s">
        <v>416</v>
      </c>
      <c r="O29" s="70">
        <f t="shared" si="0"/>
        <v>6.5736079664940578E-2</v>
      </c>
      <c r="T29" s="80">
        <f t="shared" si="4"/>
        <v>2173120.15</v>
      </c>
      <c r="U29" s="70">
        <f>_xlfn.RANK.EQ(T29,$T$8:$T$49,0)</f>
        <v>5</v>
      </c>
      <c r="X29" s="81">
        <f t="shared" si="2"/>
        <v>2173120.15</v>
      </c>
      <c r="Z29" s="70" t="s">
        <v>652</v>
      </c>
    </row>
    <row r="30" spans="1:26" ht="29.25" customHeight="1" x14ac:dyDescent="0.2">
      <c r="A30" s="116">
        <f>VLOOKUP(J30,$T$8:$U$49,2,0)</f>
        <v>3</v>
      </c>
      <c r="B30" s="115" t="s">
        <v>286</v>
      </c>
      <c r="C30" s="78" t="s">
        <v>81</v>
      </c>
      <c r="D30" s="78" t="s">
        <v>71</v>
      </c>
      <c r="E30" s="77" t="s">
        <v>64</v>
      </c>
      <c r="F30" s="78" t="s">
        <v>22</v>
      </c>
      <c r="G30" s="95">
        <f>'MC '!D72</f>
        <v>1254.44</v>
      </c>
      <c r="H30" s="79">
        <f>'Mat. Betuminoso'!F15</f>
        <v>3420</v>
      </c>
      <c r="I30" s="95">
        <f t="shared" si="13"/>
        <v>3933</v>
      </c>
      <c r="J30" s="137">
        <f>TRUNC(G30 * TRUNC(H30 * (1 + 15 / 100), 2), 2)</f>
        <v>4933712.5199999996</v>
      </c>
      <c r="K30" s="81"/>
      <c r="N30" s="70" t="s">
        <v>416</v>
      </c>
      <c r="O30" s="70">
        <f t="shared" si="0"/>
        <v>0.14924297639899695</v>
      </c>
      <c r="T30" s="80">
        <f t="shared" si="4"/>
        <v>4933712.5199999996</v>
      </c>
      <c r="U30" s="70">
        <f>_xlfn.RANK.EQ(T30,$T$8:$T$49,0)</f>
        <v>3</v>
      </c>
      <c r="X30" s="81">
        <f t="shared" si="2"/>
        <v>4933712.5199999996</v>
      </c>
      <c r="Z30" s="70" t="s">
        <v>652</v>
      </c>
    </row>
    <row r="31" spans="1:26" ht="38.25" x14ac:dyDescent="0.2">
      <c r="A31" s="116">
        <f>VLOOKUP(J31,$T$8:$U$49,2,0)</f>
        <v>28</v>
      </c>
      <c r="B31" s="114" t="s">
        <v>287</v>
      </c>
      <c r="C31" s="75" t="s">
        <v>82</v>
      </c>
      <c r="D31" s="75" t="s">
        <v>75</v>
      </c>
      <c r="E31" s="74" t="s">
        <v>27</v>
      </c>
      <c r="F31" s="75" t="s">
        <v>30</v>
      </c>
      <c r="G31" s="93">
        <f>'MC '!D76</f>
        <v>48309.3</v>
      </c>
      <c r="H31" s="76">
        <v>1.49</v>
      </c>
      <c r="I31" s="76">
        <f>TRUNC(H31 * (1 + $I$2), 2)</f>
        <v>1.71</v>
      </c>
      <c r="J31" s="136">
        <f>TRUNC(G31 * TRUNC(H31 * (1 + 15 / 100), 2), 2)</f>
        <v>82608.899999999994</v>
      </c>
      <c r="K31" s="81"/>
      <c r="N31" s="70" t="s">
        <v>416</v>
      </c>
      <c r="O31" s="70">
        <f t="shared" si="0"/>
        <v>2.4988886286076311E-3</v>
      </c>
      <c r="T31" s="80">
        <f t="shared" si="4"/>
        <v>82608.899999999994</v>
      </c>
      <c r="U31" s="70">
        <f>_xlfn.RANK.EQ(T31,$T$8:$T$49,0)</f>
        <v>28</v>
      </c>
      <c r="X31" s="81">
        <f t="shared" si="2"/>
        <v>82608.899999999994</v>
      </c>
      <c r="Z31" s="70" t="s">
        <v>648</v>
      </c>
    </row>
    <row r="32" spans="1:26" ht="39" thickBot="1" x14ac:dyDescent="0.25">
      <c r="A32" s="116">
        <f>VLOOKUP(J32,$T$8:$U$49,2,0)</f>
        <v>17</v>
      </c>
      <c r="B32" s="123" t="s">
        <v>288</v>
      </c>
      <c r="C32" s="124" t="s">
        <v>83</v>
      </c>
      <c r="D32" s="124" t="s">
        <v>75</v>
      </c>
      <c r="E32" s="125" t="s">
        <v>31</v>
      </c>
      <c r="F32" s="124" t="s">
        <v>30</v>
      </c>
      <c r="G32" s="126">
        <f>'MC '!D79</f>
        <v>289855.8</v>
      </c>
      <c r="H32" s="127">
        <v>0.57999999999999996</v>
      </c>
      <c r="I32" s="127">
        <f>TRUNC(H32 * (1 + $I$2), 2)</f>
        <v>0.66</v>
      </c>
      <c r="J32" s="138">
        <f>TRUNC(G32 * TRUNC(H32 * (1 + 15 / 100), 2), 2)</f>
        <v>191304.82</v>
      </c>
      <c r="K32" s="81"/>
      <c r="N32" s="70" t="s">
        <v>416</v>
      </c>
      <c r="O32" s="70">
        <f t="shared" si="0"/>
        <v>5.7868999501970103E-3</v>
      </c>
      <c r="T32" s="80">
        <f t="shared" si="4"/>
        <v>191304.82</v>
      </c>
      <c r="U32" s="70">
        <f>_xlfn.RANK.EQ(T32,$T$8:$T$49,0)</f>
        <v>17</v>
      </c>
      <c r="X32" s="81">
        <f t="shared" si="2"/>
        <v>191304.82</v>
      </c>
      <c r="Z32" s="70" t="s">
        <v>648</v>
      </c>
    </row>
    <row r="33" spans="1:26" ht="29.25" customHeight="1" x14ac:dyDescent="0.2">
      <c r="A33" s="116"/>
      <c r="B33" s="203" t="s">
        <v>265</v>
      </c>
      <c r="C33" s="204"/>
      <c r="D33" s="204"/>
      <c r="E33" s="205" t="s">
        <v>282</v>
      </c>
      <c r="F33" s="205"/>
      <c r="G33" s="206"/>
      <c r="H33" s="207"/>
      <c r="I33" s="207"/>
      <c r="J33" s="135">
        <f>SUBTOTAL(9,J34:J38)</f>
        <v>2998760.25</v>
      </c>
      <c r="K33" s="81"/>
      <c r="T33" s="80"/>
      <c r="X33" s="81">
        <f t="shared" si="2"/>
        <v>0</v>
      </c>
    </row>
    <row r="34" spans="1:26" ht="29.25" customHeight="1" x14ac:dyDescent="0.2">
      <c r="A34" s="116">
        <f>VLOOKUP(J34,$T$8:$U$49,2,0)</f>
        <v>23</v>
      </c>
      <c r="B34" s="208" t="s">
        <v>284</v>
      </c>
      <c r="C34" s="129" t="s">
        <v>105</v>
      </c>
      <c r="D34" s="129" t="s">
        <v>77</v>
      </c>
      <c r="E34" s="128" t="s">
        <v>101</v>
      </c>
      <c r="F34" s="129" t="s">
        <v>7</v>
      </c>
      <c r="G34" s="209">
        <f>'MC '!D83</f>
        <v>296560</v>
      </c>
      <c r="H34" s="210">
        <v>0.35</v>
      </c>
      <c r="I34" s="210">
        <f t="shared" ref="I34:I38" si="14">TRUNC(H34 * (1 + $I$1), 2)</f>
        <v>0.43</v>
      </c>
      <c r="J34" s="211">
        <f>TRUNC(G34 * I34, 2)</f>
        <v>127520.8</v>
      </c>
      <c r="K34" s="81"/>
      <c r="N34" s="70" t="s">
        <v>416</v>
      </c>
      <c r="O34" s="70">
        <f t="shared" si="0"/>
        <v>3.857456969296868E-3</v>
      </c>
      <c r="T34" s="80">
        <f t="shared" si="4"/>
        <v>127520.8</v>
      </c>
      <c r="U34" s="70">
        <f>_xlfn.RANK.EQ(T34,$T$8:$T$49,0)</f>
        <v>23</v>
      </c>
      <c r="X34" s="81">
        <f t="shared" si="2"/>
        <v>127520.8</v>
      </c>
      <c r="Z34" s="70" t="s">
        <v>652</v>
      </c>
    </row>
    <row r="35" spans="1:26" ht="29.25" customHeight="1" x14ac:dyDescent="0.2">
      <c r="A35" s="116">
        <f>VLOOKUP(J35,$T$8:$U$49,2,0)</f>
        <v>6</v>
      </c>
      <c r="B35" s="208" t="s">
        <v>293</v>
      </c>
      <c r="C35" s="129" t="s">
        <v>106</v>
      </c>
      <c r="D35" s="129" t="s">
        <v>77</v>
      </c>
      <c r="E35" s="128" t="s">
        <v>102</v>
      </c>
      <c r="F35" s="129" t="s">
        <v>7</v>
      </c>
      <c r="G35" s="209">
        <f>'MC '!D86</f>
        <v>296560</v>
      </c>
      <c r="H35" s="210">
        <v>5.14</v>
      </c>
      <c r="I35" s="210">
        <f t="shared" si="14"/>
        <v>6.34</v>
      </c>
      <c r="J35" s="211">
        <f>TRUNC(G35 * I35, 2)</f>
        <v>1880190.4</v>
      </c>
      <c r="K35" s="81"/>
      <c r="L35" s="82">
        <f>G35*0.3</f>
        <v>88968</v>
      </c>
      <c r="N35" s="70" t="s">
        <v>416</v>
      </c>
      <c r="O35" s="70">
        <f t="shared" si="0"/>
        <v>5.6875063221725912E-2</v>
      </c>
      <c r="Q35" s="82">
        <f>G35*0.3</f>
        <v>88968</v>
      </c>
      <c r="T35" s="80">
        <f t="shared" si="4"/>
        <v>1880190.4</v>
      </c>
      <c r="U35" s="70">
        <f>_xlfn.RANK.EQ(T35,$T$8:$T$49,0)</f>
        <v>6</v>
      </c>
      <c r="X35" s="81">
        <f t="shared" si="2"/>
        <v>1880190.4</v>
      </c>
      <c r="Z35" s="70" t="s">
        <v>652</v>
      </c>
    </row>
    <row r="36" spans="1:26" ht="29.25" customHeight="1" x14ac:dyDescent="0.2">
      <c r="A36" s="116">
        <f>VLOOKUP(J36,$T$8:$U$49,2,0)</f>
        <v>15</v>
      </c>
      <c r="B36" s="208" t="s">
        <v>294</v>
      </c>
      <c r="C36" s="129" t="s">
        <v>107</v>
      </c>
      <c r="D36" s="129" t="s">
        <v>77</v>
      </c>
      <c r="E36" s="128" t="s">
        <v>573</v>
      </c>
      <c r="F36" s="129" t="s">
        <v>7</v>
      </c>
      <c r="G36" s="209">
        <f>'MC '!D89</f>
        <v>296560</v>
      </c>
      <c r="H36" s="210">
        <v>0.9</v>
      </c>
      <c r="I36" s="210">
        <f t="shared" si="14"/>
        <v>1.1100000000000001</v>
      </c>
      <c r="J36" s="211">
        <f>TRUNC(G36 * I36, 2)</f>
        <v>329181.59999999998</v>
      </c>
      <c r="K36" s="81"/>
      <c r="N36" s="70" t="s">
        <v>416</v>
      </c>
      <c r="O36" s="70">
        <f t="shared" si="0"/>
        <v>9.9576214788826122E-3</v>
      </c>
      <c r="T36" s="80">
        <f t="shared" si="4"/>
        <v>329181.59999999998</v>
      </c>
      <c r="U36" s="70">
        <f>_xlfn.RANK.EQ(T36,$T$8:$T$49,0)</f>
        <v>15</v>
      </c>
      <c r="X36" s="81">
        <f t="shared" si="2"/>
        <v>329181.59999999998</v>
      </c>
      <c r="Z36" s="70" t="s">
        <v>652</v>
      </c>
    </row>
    <row r="37" spans="1:26" ht="29.25" customHeight="1" x14ac:dyDescent="0.2">
      <c r="A37" s="116">
        <f>VLOOKUP(J37,$T$8:$U$49,2,0)</f>
        <v>33</v>
      </c>
      <c r="B37" s="208" t="s">
        <v>295</v>
      </c>
      <c r="C37" s="75">
        <v>5915320</v>
      </c>
      <c r="D37" s="75" t="s">
        <v>77</v>
      </c>
      <c r="E37" s="74" t="s">
        <v>588</v>
      </c>
      <c r="F37" s="129" t="s">
        <v>15</v>
      </c>
      <c r="G37" s="209">
        <f>'MC '!D92</f>
        <v>20162.71</v>
      </c>
      <c r="H37" s="210">
        <v>0.64</v>
      </c>
      <c r="I37" s="210">
        <f t="shared" si="14"/>
        <v>0.78</v>
      </c>
      <c r="J37" s="211">
        <f>TRUNC(G37 * I37, 2)</f>
        <v>15726.91</v>
      </c>
      <c r="K37" s="81"/>
      <c r="N37" s="70" t="s">
        <v>416</v>
      </c>
      <c r="O37" s="70">
        <f t="shared" si="0"/>
        <v>4.7573320262266707E-4</v>
      </c>
      <c r="T37" s="80">
        <f t="shared" si="4"/>
        <v>15726.91</v>
      </c>
      <c r="U37" s="70">
        <f>_xlfn.RANK.EQ(T37,$T$8:$T$49,0)</f>
        <v>33</v>
      </c>
      <c r="X37" s="81">
        <f t="shared" si="2"/>
        <v>15726.91</v>
      </c>
      <c r="Z37" s="70" t="s">
        <v>648</v>
      </c>
    </row>
    <row r="38" spans="1:26" ht="29.25" customHeight="1" x14ac:dyDescent="0.2">
      <c r="A38" s="116">
        <f>VLOOKUP(J38,$T$8:$U$49,2,0)</f>
        <v>9</v>
      </c>
      <c r="B38" s="208" t="s">
        <v>296</v>
      </c>
      <c r="C38" s="75">
        <v>5915321</v>
      </c>
      <c r="D38" s="75" t="s">
        <v>77</v>
      </c>
      <c r="E38" s="74" t="s">
        <v>589</v>
      </c>
      <c r="F38" s="129" t="s">
        <v>15</v>
      </c>
      <c r="G38" s="209">
        <f>'MC '!D99</f>
        <v>994062.38</v>
      </c>
      <c r="H38" s="210">
        <v>0.53</v>
      </c>
      <c r="I38" s="210">
        <f t="shared" si="14"/>
        <v>0.65</v>
      </c>
      <c r="J38" s="211">
        <f>TRUNC(G38 * I38, 2)</f>
        <v>646140.54</v>
      </c>
      <c r="K38" s="81"/>
      <c r="N38" s="70" t="s">
        <v>416</v>
      </c>
      <c r="O38" s="70">
        <f t="shared" si="0"/>
        <v>1.954551201975083E-2</v>
      </c>
      <c r="T38" s="80">
        <f t="shared" si="4"/>
        <v>646140.54</v>
      </c>
      <c r="U38" s="70">
        <f>_xlfn.RANK.EQ(T38,$T$8:$T$49,0)</f>
        <v>9</v>
      </c>
      <c r="X38" s="81">
        <f t="shared" si="2"/>
        <v>646140.54</v>
      </c>
      <c r="Z38" s="70" t="s">
        <v>648</v>
      </c>
    </row>
    <row r="39" spans="1:26" ht="29.25" customHeight="1" x14ac:dyDescent="0.2">
      <c r="A39" s="116"/>
      <c r="B39" s="212">
        <v>5</v>
      </c>
      <c r="C39" s="213"/>
      <c r="D39" s="213"/>
      <c r="E39" s="214" t="s">
        <v>87</v>
      </c>
      <c r="F39" s="214"/>
      <c r="G39" s="215"/>
      <c r="H39" s="216"/>
      <c r="I39" s="216"/>
      <c r="J39" s="135">
        <f>SUBTOTAL(9,J40:J41)</f>
        <v>7686624</v>
      </c>
      <c r="K39" s="81"/>
      <c r="T39" s="80"/>
      <c r="X39" s="81">
        <f t="shared" si="2"/>
        <v>0</v>
      </c>
    </row>
    <row r="40" spans="1:26" x14ac:dyDescent="0.2">
      <c r="A40" s="116">
        <f>VLOOKUP(J40,$T$8:$U$49,2,0)</f>
        <v>1</v>
      </c>
      <c r="B40" s="208" t="s">
        <v>280</v>
      </c>
      <c r="C40" s="129">
        <v>2003373</v>
      </c>
      <c r="D40" s="129" t="s">
        <v>77</v>
      </c>
      <c r="E40" s="128" t="s">
        <v>602</v>
      </c>
      <c r="F40" s="129" t="s">
        <v>11</v>
      </c>
      <c r="G40" s="209">
        <f>'MC '!D107</f>
        <v>88000</v>
      </c>
      <c r="H40" s="210">
        <v>69.540000000000006</v>
      </c>
      <c r="I40" s="210">
        <f t="shared" ref="I40:I41" si="15">TRUNC(H40 * (1 + $I$1), 2)</f>
        <v>85.8</v>
      </c>
      <c r="J40" s="211">
        <f>TRUNC(G40 * I40, 2)</f>
        <v>7550400</v>
      </c>
      <c r="K40" s="81"/>
      <c r="L40" s="82">
        <f>G40*0.15</f>
        <v>13200</v>
      </c>
      <c r="N40" s="70" t="s">
        <v>417</v>
      </c>
      <c r="O40" s="70">
        <f t="shared" si="0"/>
        <v>0.22839680350953784</v>
      </c>
      <c r="T40" s="80">
        <f t="shared" si="4"/>
        <v>7550400</v>
      </c>
      <c r="U40" s="70">
        <f>_xlfn.RANK.EQ(T40,$T$8:$T$49,0)</f>
        <v>1</v>
      </c>
      <c r="W40" s="70">
        <v>86.89</v>
      </c>
      <c r="X40" s="81">
        <f t="shared" si="2"/>
        <v>7550400</v>
      </c>
      <c r="Z40" s="70" t="s">
        <v>646</v>
      </c>
    </row>
    <row r="41" spans="1:26" x14ac:dyDescent="0.2">
      <c r="A41" s="116">
        <f>VLOOKUP(J41,$T$8:$U$49,2,0)</f>
        <v>21</v>
      </c>
      <c r="B41" s="208" t="s">
        <v>495</v>
      </c>
      <c r="C41" s="129">
        <v>4815671</v>
      </c>
      <c r="D41" s="129" t="s">
        <v>77</v>
      </c>
      <c r="E41" s="128" t="s">
        <v>496</v>
      </c>
      <c r="F41" s="129" t="s">
        <v>497</v>
      </c>
      <c r="G41" s="209">
        <f>'MC '!D110</f>
        <v>6600</v>
      </c>
      <c r="H41" s="210">
        <v>16.73</v>
      </c>
      <c r="I41" s="210">
        <f t="shared" si="15"/>
        <v>20.64</v>
      </c>
      <c r="J41" s="211">
        <f t="shared" ref="J41" si="16">TRUNC(G41 * I41, 2)</f>
        <v>136224</v>
      </c>
      <c r="K41" s="81"/>
      <c r="L41" s="82"/>
      <c r="N41" s="70" t="s">
        <v>417</v>
      </c>
      <c r="O41" s="70">
        <f t="shared" si="0"/>
        <v>4.1207255458364164E-3</v>
      </c>
      <c r="T41" s="80">
        <f t="shared" si="4"/>
        <v>136224</v>
      </c>
      <c r="U41" s="70">
        <f>_xlfn.RANK.EQ(T41,$T$8:$T$49,0)</f>
        <v>21</v>
      </c>
      <c r="X41" s="81">
        <f t="shared" si="2"/>
        <v>136224</v>
      </c>
      <c r="Z41" s="70" t="s">
        <v>647</v>
      </c>
    </row>
    <row r="42" spans="1:26" ht="29.25" customHeight="1" x14ac:dyDescent="0.2">
      <c r="A42" s="116"/>
      <c r="B42" s="212">
        <v>6</v>
      </c>
      <c r="C42" s="213"/>
      <c r="D42" s="213"/>
      <c r="E42" s="214" t="s">
        <v>304</v>
      </c>
      <c r="F42" s="214"/>
      <c r="G42" s="215"/>
      <c r="H42" s="216"/>
      <c r="I42" s="216"/>
      <c r="J42" s="135">
        <f>SUBTOTAL(9,J43:J45)</f>
        <v>682677.6</v>
      </c>
      <c r="K42" s="81"/>
      <c r="T42" s="80"/>
      <c r="X42" s="81">
        <f t="shared" si="2"/>
        <v>0</v>
      </c>
    </row>
    <row r="43" spans="1:26" ht="29.25" customHeight="1" x14ac:dyDescent="0.2">
      <c r="A43" s="116">
        <f>VLOOKUP(J43,$T$8:$U$49,2,0)</f>
        <v>30</v>
      </c>
      <c r="B43" s="208" t="s">
        <v>297</v>
      </c>
      <c r="C43" s="129">
        <v>5213440</v>
      </c>
      <c r="D43" s="129" t="s">
        <v>77</v>
      </c>
      <c r="E43" s="128" t="s">
        <v>269</v>
      </c>
      <c r="F43" s="129" t="s">
        <v>2</v>
      </c>
      <c r="G43" s="209">
        <f>'MC '!D116</f>
        <v>220</v>
      </c>
      <c r="H43" s="210">
        <v>253.95</v>
      </c>
      <c r="I43" s="210">
        <f t="shared" ref="I43:I45" si="17">TRUNC(H43 * (1 + $I$1), 2)</f>
        <v>313.33999999999997</v>
      </c>
      <c r="J43" s="211">
        <f>TRUNC(G43 * I43, 2)</f>
        <v>68934.8</v>
      </c>
      <c r="K43" s="81"/>
      <c r="N43" s="70" t="s">
        <v>415</v>
      </c>
      <c r="O43" s="70">
        <f t="shared" si="0"/>
        <v>2.0852521681724531E-3</v>
      </c>
      <c r="T43" s="80">
        <f t="shared" si="4"/>
        <v>68934.8</v>
      </c>
      <c r="U43" s="70">
        <f>_xlfn.RANK.EQ(T43,$T$8:$T$49,0)</f>
        <v>30</v>
      </c>
      <c r="X43" s="81">
        <f t="shared" si="2"/>
        <v>68934.8</v>
      </c>
      <c r="Z43" s="70" t="s">
        <v>645</v>
      </c>
    </row>
    <row r="44" spans="1:26" ht="29.25" customHeight="1" x14ac:dyDescent="0.2">
      <c r="A44" s="116">
        <f>VLOOKUP(J44,$T$8:$U$49,2,0)</f>
        <v>25</v>
      </c>
      <c r="B44" s="208" t="s">
        <v>298</v>
      </c>
      <c r="C44" s="129">
        <v>5213863</v>
      </c>
      <c r="D44" s="129" t="s">
        <v>77</v>
      </c>
      <c r="E44" s="128" t="s">
        <v>271</v>
      </c>
      <c r="F44" s="129" t="s">
        <v>2</v>
      </c>
      <c r="G44" s="209">
        <f>'MC '!D119</f>
        <v>220</v>
      </c>
      <c r="H44" s="210">
        <v>434.03</v>
      </c>
      <c r="I44" s="210">
        <f t="shared" si="17"/>
        <v>535.54</v>
      </c>
      <c r="J44" s="211">
        <f t="shared" ref="J44:J45" si="18">TRUNC(G44 * I44, 2)</f>
        <v>117818.8</v>
      </c>
      <c r="K44" s="81"/>
      <c r="N44" s="70" t="s">
        <v>415</v>
      </c>
      <c r="O44" s="70">
        <f t="shared" si="0"/>
        <v>3.5639750626893325E-3</v>
      </c>
      <c r="T44" s="80">
        <f t="shared" si="4"/>
        <v>117818.8</v>
      </c>
      <c r="U44" s="70">
        <f>_xlfn.RANK.EQ(T44,$T$8:$T$49,0)</f>
        <v>25</v>
      </c>
      <c r="X44" s="81">
        <f t="shared" si="2"/>
        <v>117818.8</v>
      </c>
      <c r="Z44" s="70" t="s">
        <v>645</v>
      </c>
    </row>
    <row r="45" spans="1:26" ht="29.25" customHeight="1" x14ac:dyDescent="0.2">
      <c r="A45" s="116">
        <f>VLOOKUP(J45,$T$8:$U$49,2,0)</f>
        <v>11</v>
      </c>
      <c r="B45" s="208" t="s">
        <v>299</v>
      </c>
      <c r="C45" s="129">
        <v>5213400</v>
      </c>
      <c r="D45" s="129" t="s">
        <v>77</v>
      </c>
      <c r="E45" s="128" t="s">
        <v>270</v>
      </c>
      <c r="F45" s="129" t="s">
        <v>84</v>
      </c>
      <c r="G45" s="209">
        <f>'MC '!D122</f>
        <v>13200</v>
      </c>
      <c r="H45" s="210">
        <v>30.45</v>
      </c>
      <c r="I45" s="210">
        <f t="shared" si="17"/>
        <v>37.57</v>
      </c>
      <c r="J45" s="211">
        <f t="shared" si="18"/>
        <v>495924</v>
      </c>
      <c r="K45" s="81"/>
      <c r="N45" s="70" t="s">
        <v>415</v>
      </c>
      <c r="O45" s="70">
        <f t="shared" si="0"/>
        <v>1.5001517321421916E-2</v>
      </c>
      <c r="T45" s="80">
        <f t="shared" si="4"/>
        <v>495924</v>
      </c>
      <c r="U45" s="70">
        <f>_xlfn.RANK.EQ(T45,$T$8:$T$49,0)</f>
        <v>11</v>
      </c>
      <c r="X45" s="81">
        <f t="shared" si="2"/>
        <v>495924</v>
      </c>
      <c r="Z45" s="70" t="s">
        <v>645</v>
      </c>
    </row>
    <row r="46" spans="1:26" ht="29.25" customHeight="1" x14ac:dyDescent="0.2">
      <c r="A46" s="116"/>
      <c r="B46" s="212">
        <v>7</v>
      </c>
      <c r="C46" s="213"/>
      <c r="D46" s="213"/>
      <c r="E46" s="214" t="s">
        <v>85</v>
      </c>
      <c r="F46" s="214"/>
      <c r="G46" s="215"/>
      <c r="H46" s="216"/>
      <c r="I46" s="216"/>
      <c r="J46" s="135">
        <f>SUBTOTAL(9,J47:J49)</f>
        <v>153297.22999999998</v>
      </c>
      <c r="K46" s="81"/>
      <c r="T46" s="80"/>
      <c r="X46" s="81">
        <f t="shared" si="2"/>
        <v>0</v>
      </c>
    </row>
    <row r="47" spans="1:26" ht="29.25" customHeight="1" x14ac:dyDescent="0.2">
      <c r="A47" s="116">
        <f>VLOOKUP(J47,$T$8:$U$49,2,0)</f>
        <v>31</v>
      </c>
      <c r="B47" s="208" t="s">
        <v>300</v>
      </c>
      <c r="C47" s="129" t="s">
        <v>487</v>
      </c>
      <c r="D47" s="129" t="s">
        <v>71</v>
      </c>
      <c r="E47" s="128" t="s">
        <v>20</v>
      </c>
      <c r="F47" s="129" t="s">
        <v>11</v>
      </c>
      <c r="G47" s="209">
        <f>'MC '!D128</f>
        <v>1283.1500000000001</v>
      </c>
      <c r="H47" s="210">
        <v>15.65</v>
      </c>
      <c r="I47" s="210">
        <f t="shared" ref="I47:I49" si="19">TRUNC(H47 * (1 + $I$1), 2)</f>
        <v>19.309999999999999</v>
      </c>
      <c r="J47" s="211">
        <f>ROUND(G47 * I47, 2)</f>
        <v>24777.63</v>
      </c>
      <c r="K47" s="81"/>
      <c r="N47" s="70" t="s">
        <v>415</v>
      </c>
      <c r="O47" s="70">
        <f t="shared" si="0"/>
        <v>7.4951413044898685E-4</v>
      </c>
      <c r="T47" s="80">
        <f t="shared" si="4"/>
        <v>24777.63</v>
      </c>
      <c r="U47" s="70">
        <f>_xlfn.RANK.EQ(T47,$T$8:$T$49,0)</f>
        <v>31</v>
      </c>
      <c r="X47" s="81">
        <f t="shared" si="2"/>
        <v>24777.62</v>
      </c>
      <c r="Z47" s="70" t="s">
        <v>644</v>
      </c>
    </row>
    <row r="48" spans="1:26" ht="29.25" customHeight="1" x14ac:dyDescent="0.2">
      <c r="A48" s="116">
        <f>VLOOKUP(J48,$T$8:$U$49,2,0)</f>
        <v>26</v>
      </c>
      <c r="B48" s="208" t="s">
        <v>301</v>
      </c>
      <c r="C48" s="129" t="s">
        <v>488</v>
      </c>
      <c r="D48" s="129" t="s">
        <v>71</v>
      </c>
      <c r="E48" s="128" t="s">
        <v>490</v>
      </c>
      <c r="F48" s="129" t="s">
        <v>84</v>
      </c>
      <c r="G48" s="209">
        <f>'MC '!D131</f>
        <v>440</v>
      </c>
      <c r="H48" s="210">
        <v>204.05</v>
      </c>
      <c r="I48" s="210">
        <f t="shared" si="19"/>
        <v>251.77</v>
      </c>
      <c r="J48" s="211">
        <f>TRUNC(G48 * I48, 2)</f>
        <v>110778.8</v>
      </c>
      <c r="K48" s="81"/>
      <c r="N48" s="70" t="s">
        <v>415</v>
      </c>
      <c r="O48" s="70">
        <f t="shared" si="0"/>
        <v>3.3510176701396469E-3</v>
      </c>
      <c r="T48" s="80">
        <f t="shared" si="4"/>
        <v>110778.8</v>
      </c>
      <c r="U48" s="70">
        <f>_xlfn.RANK.EQ(T48,$T$8:$T$49,0)</f>
        <v>26</v>
      </c>
      <c r="X48" s="81">
        <f t="shared" si="2"/>
        <v>110778.8</v>
      </c>
      <c r="Z48" s="70" t="s">
        <v>644</v>
      </c>
    </row>
    <row r="49" spans="1:26" ht="29.25" customHeight="1" x14ac:dyDescent="0.2">
      <c r="A49" s="116">
        <f>VLOOKUP(J49,$T$8:$U$49,2,0)</f>
        <v>32</v>
      </c>
      <c r="B49" s="208" t="s">
        <v>302</v>
      </c>
      <c r="C49" s="129" t="s">
        <v>489</v>
      </c>
      <c r="D49" s="129" t="s">
        <v>71</v>
      </c>
      <c r="E49" s="128" t="s">
        <v>525</v>
      </c>
      <c r="F49" s="129" t="s">
        <v>8</v>
      </c>
      <c r="G49" s="209">
        <f>'MC '!D134</f>
        <v>440</v>
      </c>
      <c r="H49" s="210">
        <v>32.68</v>
      </c>
      <c r="I49" s="210">
        <f t="shared" si="19"/>
        <v>40.32</v>
      </c>
      <c r="J49" s="211">
        <f>TRUNC(G49 * I49, 2)</f>
        <v>17740.8</v>
      </c>
      <c r="K49" s="81"/>
      <c r="N49" s="70" t="s">
        <v>415</v>
      </c>
      <c r="O49" s="70">
        <f>J49/$J$6</f>
        <v>5.3665262922520773E-4</v>
      </c>
      <c r="T49" s="80">
        <f t="shared" si="4"/>
        <v>17740.8</v>
      </c>
      <c r="U49" s="70">
        <f>_xlfn.RANK.EQ(T49,$T$8:$T$49,0)</f>
        <v>32</v>
      </c>
      <c r="X49" s="81">
        <f t="shared" si="2"/>
        <v>17740.8</v>
      </c>
      <c r="Z49" s="70" t="s">
        <v>644</v>
      </c>
    </row>
  </sheetData>
  <mergeCells count="4">
    <mergeCell ref="B4:J4"/>
    <mergeCell ref="B3:J3"/>
    <mergeCell ref="F1:G1"/>
    <mergeCell ref="F2:G2"/>
  </mergeCells>
  <phoneticPr fontId="34" type="noConversion"/>
  <printOptions horizontalCentered="1"/>
  <pageMargins left="0.51181102362204722" right="0.51181102362204722" top="0.78740157480314965" bottom="0.86614173228346458" header="0.51181102362204722" footer="0.51181102362204722"/>
  <pageSetup paperSize="9" scale="79" fitToHeight="0" orientation="landscape" r:id="rId1"/>
  <headerFooter>
    <oddHeader>&amp;L &amp;CCompanhia de Desenvolvimento dos Vales do São Francisco e do Parnaíba</oddHeader>
    <oddFooter>&amp;L &amp;C CODEVASF -  6ªSR Juazeiro / BA</oddFooter>
  </headerFooter>
  <rowBreaks count="1" manualBreakCount="1">
    <brk id="32" min="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88AA-6E14-4013-9976-6EB25EAB005D}">
  <dimension ref="A1:J138"/>
  <sheetViews>
    <sheetView showOutlineSymbols="0" showWhiteSpace="0" view="pageBreakPreview" zoomScale="90" zoomScaleNormal="100" zoomScaleSheetLayoutView="90" workbookViewId="0">
      <selection activeCell="B3" sqref="B3"/>
    </sheetView>
  </sheetViews>
  <sheetFormatPr defaultRowHeight="14.25" x14ac:dyDescent="0.2"/>
  <cols>
    <col min="1" max="1" width="10" style="70" bestFit="1" customWidth="1"/>
    <col min="2" max="2" width="60" style="70" bestFit="1" customWidth="1"/>
    <col min="3" max="3" width="8" style="70" bestFit="1" customWidth="1"/>
    <col min="4" max="4" width="17.625" style="70" customWidth="1"/>
    <col min="5" max="5" width="17.5" style="70" customWidth="1"/>
    <col min="6" max="6" width="17.375" style="70" bestFit="1" customWidth="1"/>
    <col min="7" max="7" width="16.625" style="70" customWidth="1"/>
    <col min="8" max="8" width="9.5" style="70" bestFit="1" customWidth="1"/>
    <col min="9" max="16384" width="9" style="70"/>
  </cols>
  <sheetData>
    <row r="1" spans="1:7" ht="15.75" thickBot="1" x14ac:dyDescent="0.25">
      <c r="A1" s="366"/>
      <c r="B1" s="426" t="s">
        <v>422</v>
      </c>
      <c r="C1" s="427"/>
      <c r="D1" s="434"/>
      <c r="E1" s="433" t="s">
        <v>483</v>
      </c>
      <c r="F1" s="433"/>
      <c r="G1" s="433"/>
    </row>
    <row r="2" spans="1:7" ht="15.75" thickBot="1" x14ac:dyDescent="0.25">
      <c r="A2" s="366"/>
      <c r="B2" s="426" t="s">
        <v>262</v>
      </c>
      <c r="C2" s="427"/>
      <c r="D2" s="434"/>
      <c r="E2" s="433"/>
      <c r="F2" s="433"/>
      <c r="G2" s="433"/>
    </row>
    <row r="3" spans="1:7" ht="15.75" thickBot="1" x14ac:dyDescent="0.25">
      <c r="A3" s="336"/>
      <c r="B3" s="222" t="s">
        <v>1</v>
      </c>
      <c r="C3" s="221" t="s">
        <v>2</v>
      </c>
      <c r="D3" s="223" t="s">
        <v>3</v>
      </c>
      <c r="E3" s="332" t="s">
        <v>479</v>
      </c>
      <c r="F3" s="333">
        <v>22</v>
      </c>
      <c r="G3" s="81" t="s">
        <v>482</v>
      </c>
    </row>
    <row r="4" spans="1:7" x14ac:dyDescent="0.2">
      <c r="A4" s="367"/>
      <c r="B4" s="224" t="s">
        <v>97</v>
      </c>
      <c r="C4" s="205"/>
      <c r="D4" s="225"/>
      <c r="E4" s="332" t="s">
        <v>480</v>
      </c>
      <c r="F4" s="333">
        <v>2000</v>
      </c>
      <c r="G4" s="81" t="s">
        <v>11</v>
      </c>
    </row>
    <row r="5" spans="1:7" x14ac:dyDescent="0.2">
      <c r="A5" s="368"/>
      <c r="B5" s="226" t="s">
        <v>90</v>
      </c>
      <c r="C5" s="214"/>
      <c r="D5" s="227"/>
      <c r="E5" s="332" t="s">
        <v>481</v>
      </c>
      <c r="F5" s="333">
        <v>7</v>
      </c>
      <c r="G5" s="81" t="s">
        <v>11</v>
      </c>
    </row>
    <row r="6" spans="1:7" x14ac:dyDescent="0.2">
      <c r="A6" s="369"/>
      <c r="B6" s="228" t="str">
        <f>'Orçamento Sintético'!E8</f>
        <v>PROJETO EXECUTIVO COM TOPOGRAFIA</v>
      </c>
      <c r="C6" s="129" t="s">
        <v>84</v>
      </c>
      <c r="D6" s="130">
        <f>TRUNC(D7*D8,2)</f>
        <v>308000</v>
      </c>
      <c r="E6" s="332" t="s">
        <v>596</v>
      </c>
      <c r="F6" s="333">
        <f>F4*F5</f>
        <v>14000</v>
      </c>
      <c r="G6" s="81" t="s">
        <v>84</v>
      </c>
    </row>
    <row r="7" spans="1:7" x14ac:dyDescent="0.2">
      <c r="A7" s="370"/>
      <c r="B7" s="229" t="s">
        <v>95</v>
      </c>
      <c r="C7" s="131" t="s">
        <v>26</v>
      </c>
      <c r="D7" s="132">
        <f>F3</f>
        <v>22</v>
      </c>
      <c r="E7" s="381" t="s">
        <v>597</v>
      </c>
      <c r="F7" s="81">
        <f>F4*(F5-0.26)</f>
        <v>13480</v>
      </c>
      <c r="G7" s="82" t="str">
        <f>G6</f>
        <v>m2</v>
      </c>
    </row>
    <row r="8" spans="1:7" x14ac:dyDescent="0.2">
      <c r="A8" s="370"/>
      <c r="B8" s="229" t="s">
        <v>502</v>
      </c>
      <c r="C8" s="131" t="s">
        <v>84</v>
      </c>
      <c r="D8" s="133">
        <f>$F$6</f>
        <v>14000</v>
      </c>
      <c r="F8" s="80">
        <f>'Orçamento Sintético'!J6</f>
        <v>33058256</v>
      </c>
      <c r="G8" s="70">
        <f>F8/D6</f>
        <v>107.33199999999999</v>
      </c>
    </row>
    <row r="9" spans="1:7" x14ac:dyDescent="0.2">
      <c r="A9" s="368"/>
      <c r="B9" s="226" t="s">
        <v>4</v>
      </c>
      <c r="C9" s="214"/>
      <c r="D9" s="230"/>
      <c r="F9" s="80">
        <f>F8*2</f>
        <v>66116512</v>
      </c>
      <c r="G9" s="83"/>
    </row>
    <row r="10" spans="1:7" x14ac:dyDescent="0.2">
      <c r="A10" s="369"/>
      <c r="B10" s="228" t="s">
        <v>72</v>
      </c>
      <c r="C10" s="129" t="s">
        <v>5</v>
      </c>
      <c r="D10" s="130">
        <f>TRUNC(D12*D13,2)*D11</f>
        <v>165704</v>
      </c>
      <c r="F10" s="81">
        <f>F6*F3</f>
        <v>308000</v>
      </c>
      <c r="G10" s="83"/>
    </row>
    <row r="11" spans="1:7" x14ac:dyDescent="0.2">
      <c r="A11" s="370"/>
      <c r="B11" s="229" t="s">
        <v>95</v>
      </c>
      <c r="C11" s="131" t="s">
        <v>26</v>
      </c>
      <c r="D11" s="132">
        <f>D7</f>
        <v>22</v>
      </c>
      <c r="F11" s="81">
        <f>F8/F3</f>
        <v>1502648</v>
      </c>
      <c r="G11" s="84"/>
    </row>
    <row r="12" spans="1:7" x14ac:dyDescent="0.2">
      <c r="A12" s="370"/>
      <c r="B12" s="229" t="s">
        <v>23</v>
      </c>
      <c r="C12" s="131" t="s">
        <v>22</v>
      </c>
      <c r="D12" s="231">
        <f>'Mob. e Desmob.'!H23</f>
        <v>107.6</v>
      </c>
    </row>
    <row r="13" spans="1:7" x14ac:dyDescent="0.2">
      <c r="A13" s="370"/>
      <c r="B13" s="229" t="s">
        <v>581</v>
      </c>
      <c r="C13" s="131" t="s">
        <v>24</v>
      </c>
      <c r="D13" s="133">
        <v>70</v>
      </c>
    </row>
    <row r="14" spans="1:7" x14ac:dyDescent="0.2">
      <c r="A14" s="369"/>
      <c r="B14" s="228" t="s">
        <v>6</v>
      </c>
      <c r="C14" s="129" t="s">
        <v>84</v>
      </c>
      <c r="D14" s="130">
        <f>TRUNC(D16*D15,2)</f>
        <v>142.56</v>
      </c>
    </row>
    <row r="15" spans="1:7" x14ac:dyDescent="0.2">
      <c r="A15" s="370"/>
      <c r="B15" s="229" t="s">
        <v>95</v>
      </c>
      <c r="C15" s="131" t="s">
        <v>26</v>
      </c>
      <c r="D15" s="132">
        <f>D11</f>
        <v>22</v>
      </c>
    </row>
    <row r="16" spans="1:7" x14ac:dyDescent="0.2">
      <c r="A16" s="370"/>
      <c r="B16" s="229" t="s">
        <v>501</v>
      </c>
      <c r="C16" s="131" t="s">
        <v>84</v>
      </c>
      <c r="D16" s="133">
        <f>3.6*1.8</f>
        <v>6.48</v>
      </c>
    </row>
    <row r="17" spans="1:6" x14ac:dyDescent="0.2">
      <c r="A17" s="369"/>
      <c r="B17" s="228" t="s">
        <v>261</v>
      </c>
      <c r="C17" s="129" t="s">
        <v>8</v>
      </c>
      <c r="D17" s="130">
        <v>1</v>
      </c>
    </row>
    <row r="18" spans="1:6" ht="25.5" x14ac:dyDescent="0.2">
      <c r="A18" s="369"/>
      <c r="B18" s="228" t="s">
        <v>9</v>
      </c>
      <c r="C18" s="129" t="s">
        <v>10</v>
      </c>
      <c r="D18" s="130">
        <f>D15</f>
        <v>22</v>
      </c>
    </row>
    <row r="19" spans="1:6" x14ac:dyDescent="0.2">
      <c r="A19" s="368"/>
      <c r="B19" s="226" t="s">
        <v>91</v>
      </c>
      <c r="C19" s="214"/>
      <c r="D19" s="227"/>
    </row>
    <row r="20" spans="1:6" ht="25.5" x14ac:dyDescent="0.2">
      <c r="A20" s="369"/>
      <c r="B20" s="228" t="s">
        <v>12</v>
      </c>
      <c r="C20" s="129" t="s">
        <v>84</v>
      </c>
      <c r="D20" s="130">
        <f>TRUNC(D21*D22,2)</f>
        <v>308000</v>
      </c>
    </row>
    <row r="21" spans="1:6" x14ac:dyDescent="0.2">
      <c r="A21" s="370"/>
      <c r="B21" s="229" t="s">
        <v>95</v>
      </c>
      <c r="C21" s="131" t="s">
        <v>26</v>
      </c>
      <c r="D21" s="132">
        <f>D18</f>
        <v>22</v>
      </c>
    </row>
    <row r="22" spans="1:6" x14ac:dyDescent="0.2">
      <c r="A22" s="370"/>
      <c r="B22" s="229" t="s">
        <v>502</v>
      </c>
      <c r="C22" s="131" t="s">
        <v>84</v>
      </c>
      <c r="D22" s="133">
        <f>$F$6</f>
        <v>14000</v>
      </c>
    </row>
    <row r="23" spans="1:6" x14ac:dyDescent="0.2">
      <c r="A23" s="369"/>
      <c r="B23" s="228" t="s">
        <v>16</v>
      </c>
      <c r="C23" s="129" t="s">
        <v>7</v>
      </c>
      <c r="D23" s="130">
        <f>TRUNC(D24*D25,2)</f>
        <v>308000</v>
      </c>
    </row>
    <row r="24" spans="1:6" x14ac:dyDescent="0.2">
      <c r="A24" s="370"/>
      <c r="B24" s="229" t="s">
        <v>95</v>
      </c>
      <c r="C24" s="131" t="s">
        <v>26</v>
      </c>
      <c r="D24" s="132">
        <f>D21</f>
        <v>22</v>
      </c>
    </row>
    <row r="25" spans="1:6" x14ac:dyDescent="0.2">
      <c r="A25" s="370"/>
      <c r="B25" s="229" t="str">
        <f>B8</f>
        <v>Módulo padrão: Via com 7m de largura e 2.000m de extensão = &gt;</v>
      </c>
      <c r="C25" s="131" t="s">
        <v>7</v>
      </c>
      <c r="D25" s="133">
        <f>D22</f>
        <v>14000</v>
      </c>
    </row>
    <row r="26" spans="1:6" customFormat="1" ht="25.5" x14ac:dyDescent="0.2">
      <c r="A26" s="371"/>
      <c r="B26" s="228" t="str">
        <f>'Orçamento Sintético'!E17</f>
        <v>Carga, manobra e descarga de agregados ou solos em caminhão basculante de 14 m³ - carga com carregadeira de 3,40 m³ edescarga livre</v>
      </c>
      <c r="C26" s="129" t="s">
        <v>22</v>
      </c>
      <c r="D26" s="130">
        <f>TRUNC(D29*D28*D27*D30,2)</f>
        <v>92400</v>
      </c>
      <c r="E26" s="220"/>
      <c r="F26" s="90"/>
    </row>
    <row r="27" spans="1:6" customFormat="1" x14ac:dyDescent="0.2">
      <c r="A27" s="372"/>
      <c r="B27" s="229" t="s">
        <v>157</v>
      </c>
      <c r="C27" s="131" t="s">
        <v>26</v>
      </c>
      <c r="D27" s="132">
        <f>D21</f>
        <v>22</v>
      </c>
    </row>
    <row r="28" spans="1:6" customFormat="1" x14ac:dyDescent="0.2">
      <c r="A28" s="372"/>
      <c r="B28" s="229" t="s">
        <v>575</v>
      </c>
      <c r="C28" s="131" t="s">
        <v>11</v>
      </c>
      <c r="D28" s="132">
        <v>0.2</v>
      </c>
    </row>
    <row r="29" spans="1:6" customFormat="1" x14ac:dyDescent="0.2">
      <c r="A29" s="372"/>
      <c r="B29" s="229" t="s">
        <v>576</v>
      </c>
      <c r="C29" s="131" t="s">
        <v>84</v>
      </c>
      <c r="D29" s="132">
        <f>F6</f>
        <v>14000</v>
      </c>
    </row>
    <row r="30" spans="1:6" customFormat="1" x14ac:dyDescent="0.2">
      <c r="A30" s="372"/>
      <c r="B30" s="229" t="s">
        <v>574</v>
      </c>
      <c r="C30" s="131" t="s">
        <v>498</v>
      </c>
      <c r="D30" s="132">
        <v>1.5</v>
      </c>
    </row>
    <row r="31" spans="1:6" ht="25.5" x14ac:dyDescent="0.2">
      <c r="A31" s="369"/>
      <c r="B31" s="228" t="s">
        <v>493</v>
      </c>
      <c r="C31" s="129" t="s">
        <v>15</v>
      </c>
      <c r="D31" s="130">
        <f>TRUNC(D32*D33,2)</f>
        <v>462000</v>
      </c>
    </row>
    <row r="32" spans="1:6" x14ac:dyDescent="0.2">
      <c r="A32" s="370"/>
      <c r="B32" s="229" t="s">
        <v>577</v>
      </c>
      <c r="C32" s="131" t="s">
        <v>22</v>
      </c>
      <c r="D32" s="133">
        <f>D26</f>
        <v>92400</v>
      </c>
    </row>
    <row r="33" spans="1:4" x14ac:dyDescent="0.2">
      <c r="A33" s="370"/>
      <c r="B33" s="229" t="s">
        <v>256</v>
      </c>
      <c r="C33" s="131" t="s">
        <v>24</v>
      </c>
      <c r="D33" s="133">
        <v>5</v>
      </c>
    </row>
    <row r="34" spans="1:4" x14ac:dyDescent="0.2">
      <c r="A34" s="369"/>
      <c r="B34" s="228" t="s">
        <v>494</v>
      </c>
      <c r="C34" s="129" t="s">
        <v>15</v>
      </c>
      <c r="D34" s="130">
        <f>TRUNC(D35*D36,2)</f>
        <v>924000</v>
      </c>
    </row>
    <row r="35" spans="1:4" x14ac:dyDescent="0.2">
      <c r="A35" s="370"/>
      <c r="B35" s="229" t="s">
        <v>577</v>
      </c>
      <c r="C35" s="131" t="s">
        <v>22</v>
      </c>
      <c r="D35" s="133">
        <f>D26</f>
        <v>92400</v>
      </c>
    </row>
    <row r="36" spans="1:4" x14ac:dyDescent="0.2">
      <c r="A36" s="370"/>
      <c r="B36" s="229" t="s">
        <v>256</v>
      </c>
      <c r="C36" s="131" t="s">
        <v>24</v>
      </c>
      <c r="D36" s="133">
        <v>10</v>
      </c>
    </row>
    <row r="37" spans="1:4" customFormat="1" ht="25.5" x14ac:dyDescent="0.2">
      <c r="A37" s="371"/>
      <c r="B37" s="217" t="s">
        <v>578</v>
      </c>
      <c r="C37" s="218" t="s">
        <v>14</v>
      </c>
      <c r="D37" s="219">
        <f>TRUNC(D29*D28,2)*D27</f>
        <v>61600</v>
      </c>
    </row>
    <row r="38" spans="1:4" x14ac:dyDescent="0.2">
      <c r="A38" s="368"/>
      <c r="B38" s="226" t="s">
        <v>89</v>
      </c>
      <c r="C38" s="214"/>
      <c r="D38" s="227"/>
    </row>
    <row r="39" spans="1:4" x14ac:dyDescent="0.2">
      <c r="A39" s="369"/>
      <c r="B39" s="228" t="s">
        <v>17</v>
      </c>
      <c r="C39" s="129" t="s">
        <v>497</v>
      </c>
      <c r="D39" s="130">
        <f>TRUNC(D40*D41*D42,2)</f>
        <v>24640</v>
      </c>
    </row>
    <row r="40" spans="1:4" x14ac:dyDescent="0.2">
      <c r="A40" s="370"/>
      <c r="B40" s="229" t="s">
        <v>95</v>
      </c>
      <c r="C40" s="131" t="s">
        <v>26</v>
      </c>
      <c r="D40" s="132">
        <f>D24</f>
        <v>22</v>
      </c>
    </row>
    <row r="41" spans="1:4" x14ac:dyDescent="0.2">
      <c r="A41" s="370"/>
      <c r="B41" s="229" t="s">
        <v>643</v>
      </c>
      <c r="C41" s="131" t="s">
        <v>25</v>
      </c>
      <c r="D41" s="133">
        <v>0.4</v>
      </c>
    </row>
    <row r="42" spans="1:4" x14ac:dyDescent="0.2">
      <c r="A42" s="370"/>
      <c r="B42" s="229" t="s">
        <v>500</v>
      </c>
      <c r="C42" s="131" t="s">
        <v>497</v>
      </c>
      <c r="D42" s="133">
        <f>$F$6*0.2</f>
        <v>2800</v>
      </c>
    </row>
    <row r="43" spans="1:4" ht="25.5" x14ac:dyDescent="0.2">
      <c r="A43" s="369"/>
      <c r="B43" s="228" t="str">
        <f>'Orçamento Sintético'!E24</f>
        <v>Sub-base estabilizada granulometricamente com mistura de solos na pista com material de jazida</v>
      </c>
      <c r="C43" s="129" t="s">
        <v>497</v>
      </c>
      <c r="D43" s="130">
        <f>TRUNC(D44*D45,2)</f>
        <v>61600</v>
      </c>
    </row>
    <row r="44" spans="1:4" x14ac:dyDescent="0.2">
      <c r="A44" s="370"/>
      <c r="B44" s="229" t="s">
        <v>95</v>
      </c>
      <c r="C44" s="131" t="s">
        <v>26</v>
      </c>
      <c r="D44" s="132">
        <f>D40</f>
        <v>22</v>
      </c>
    </row>
    <row r="45" spans="1:4" x14ac:dyDescent="0.2">
      <c r="A45" s="370"/>
      <c r="B45" s="229" t="s">
        <v>594</v>
      </c>
      <c r="C45" s="131" t="s">
        <v>497</v>
      </c>
      <c r="D45" s="133">
        <f>$F$6*0.2</f>
        <v>2800</v>
      </c>
    </row>
    <row r="46" spans="1:4" ht="25.5" x14ac:dyDescent="0.2">
      <c r="A46" s="369"/>
      <c r="B46" s="228" t="str">
        <f>'Orçamento Sintético'!E25</f>
        <v>Base estabilizada granulometricamente com mistura solo brita (70% - 30%) na pista com material de jazida e brita comercial</v>
      </c>
      <c r="C46" s="129" t="s">
        <v>497</v>
      </c>
      <c r="D46" s="130">
        <f>TRUNC(D47*D48,2)</f>
        <v>61600</v>
      </c>
    </row>
    <row r="47" spans="1:4" x14ac:dyDescent="0.2">
      <c r="A47" s="370"/>
      <c r="B47" s="229" t="s">
        <v>95</v>
      </c>
      <c r="C47" s="131" t="s">
        <v>26</v>
      </c>
      <c r="D47" s="132">
        <f>D44</f>
        <v>22</v>
      </c>
    </row>
    <row r="48" spans="1:4" x14ac:dyDescent="0.2">
      <c r="A48" s="370"/>
      <c r="B48" s="229" t="s">
        <v>595</v>
      </c>
      <c r="C48" s="131" t="s">
        <v>497</v>
      </c>
      <c r="D48" s="133">
        <f>$F$6*0.2</f>
        <v>2800</v>
      </c>
    </row>
    <row r="49" spans="1:4" ht="25.5" x14ac:dyDescent="0.2">
      <c r="A49" s="369"/>
      <c r="B49" s="228" t="s">
        <v>579</v>
      </c>
      <c r="C49" s="129" t="s">
        <v>15</v>
      </c>
      <c r="D49" s="130">
        <f>TRUNC((D52+D53)*D51,2)*D50</f>
        <v>1334355.6599999999</v>
      </c>
    </row>
    <row r="50" spans="1:4" x14ac:dyDescent="0.2">
      <c r="A50" s="370"/>
      <c r="B50" s="229" t="s">
        <v>95</v>
      </c>
      <c r="C50" s="131" t="s">
        <v>26</v>
      </c>
      <c r="D50" s="132">
        <f>D47</f>
        <v>22</v>
      </c>
    </row>
    <row r="51" spans="1:4" x14ac:dyDescent="0.2">
      <c r="A51" s="370"/>
      <c r="B51" s="229" t="s">
        <v>582</v>
      </c>
      <c r="C51" s="131" t="s">
        <v>24</v>
      </c>
      <c r="D51" s="133">
        <v>5</v>
      </c>
    </row>
    <row r="52" spans="1:4" ht="25.5" x14ac:dyDescent="0.2">
      <c r="A52" s="370"/>
      <c r="B52" s="229" t="s">
        <v>515</v>
      </c>
      <c r="C52" s="131" t="s">
        <v>22</v>
      </c>
      <c r="D52" s="133">
        <f>((D42*D41)+D45)*2.06301</f>
        <v>8086.9991999999993</v>
      </c>
    </row>
    <row r="53" spans="1:4" x14ac:dyDescent="0.2">
      <c r="A53" s="370"/>
      <c r="B53" s="229" t="s">
        <v>516</v>
      </c>
      <c r="C53" s="131" t="s">
        <v>22</v>
      </c>
      <c r="D53" s="133">
        <f>D48*1.44411</f>
        <v>4043.5079999999998</v>
      </c>
    </row>
    <row r="54" spans="1:4" x14ac:dyDescent="0.2">
      <c r="A54" s="369"/>
      <c r="B54" s="228" t="s">
        <v>580</v>
      </c>
      <c r="C54" s="129" t="s">
        <v>15</v>
      </c>
      <c r="D54" s="130">
        <f>TRUNC((D57+D58)*D56,2)*D55</f>
        <v>2668711.54</v>
      </c>
    </row>
    <row r="55" spans="1:4" x14ac:dyDescent="0.2">
      <c r="A55" s="370"/>
      <c r="B55" s="229" t="s">
        <v>95</v>
      </c>
      <c r="C55" s="131" t="s">
        <v>26</v>
      </c>
      <c r="D55" s="132">
        <f>D50</f>
        <v>22</v>
      </c>
    </row>
    <row r="56" spans="1:4" x14ac:dyDescent="0.2">
      <c r="A56" s="370"/>
      <c r="B56" s="229" t="str">
        <f>B51</f>
        <v>Distância média de transporte do solo</v>
      </c>
      <c r="C56" s="131" t="s">
        <v>24</v>
      </c>
      <c r="D56" s="133">
        <v>10</v>
      </c>
    </row>
    <row r="57" spans="1:4" ht="25.5" x14ac:dyDescent="0.2">
      <c r="A57" s="370"/>
      <c r="B57" s="229" t="str">
        <f>B52</f>
        <v>Peso do material solo: (vol reforço + vol subbase) * 2,06301 t/m³ (composição) = &gt;</v>
      </c>
      <c r="C57" s="131" t="s">
        <v>22</v>
      </c>
      <c r="D57" s="133">
        <f>((D42*D41)+D45)*2.06301</f>
        <v>8086.9991999999993</v>
      </c>
    </row>
    <row r="58" spans="1:4" x14ac:dyDescent="0.2">
      <c r="A58" s="370"/>
      <c r="B58" s="229" t="s">
        <v>516</v>
      </c>
      <c r="C58" s="131" t="s">
        <v>22</v>
      </c>
      <c r="D58" s="133">
        <f>D48*1.44411</f>
        <v>4043.5079999999998</v>
      </c>
    </row>
    <row r="59" spans="1:4" ht="25.5" x14ac:dyDescent="0.2">
      <c r="A59" s="369"/>
      <c r="B59" s="228" t="s">
        <v>513</v>
      </c>
      <c r="C59" s="129" t="s">
        <v>15</v>
      </c>
      <c r="D59" s="130">
        <f>TRUNC(D61*D62,2)*D60</f>
        <v>76248.48000000001</v>
      </c>
    </row>
    <row r="60" spans="1:4" x14ac:dyDescent="0.2">
      <c r="A60" s="370"/>
      <c r="B60" s="229" t="s">
        <v>95</v>
      </c>
      <c r="C60" s="131" t="s">
        <v>26</v>
      </c>
      <c r="D60" s="132">
        <f>D55</f>
        <v>22</v>
      </c>
    </row>
    <row r="61" spans="1:4" x14ac:dyDescent="0.2">
      <c r="A61" s="370"/>
      <c r="B61" s="229" t="str">
        <f>B21</f>
        <v>Quantidades</v>
      </c>
      <c r="C61" s="131" t="s">
        <v>24</v>
      </c>
      <c r="D61" s="133">
        <v>2</v>
      </c>
    </row>
    <row r="62" spans="1:4" x14ac:dyDescent="0.2">
      <c r="A62" s="370"/>
      <c r="B62" s="229" t="s">
        <v>517</v>
      </c>
      <c r="C62" s="131" t="s">
        <v>22</v>
      </c>
      <c r="D62" s="133">
        <f>D48*0.6189</f>
        <v>1732.92</v>
      </c>
    </row>
    <row r="63" spans="1:4" x14ac:dyDescent="0.2">
      <c r="A63" s="369"/>
      <c r="B63" s="228" t="s">
        <v>514</v>
      </c>
      <c r="C63" s="129" t="s">
        <v>15</v>
      </c>
      <c r="D63" s="130">
        <f>TRUNC(D65*D66,2)*D64</f>
        <v>3812424</v>
      </c>
    </row>
    <row r="64" spans="1:4" x14ac:dyDescent="0.2">
      <c r="A64" s="370"/>
      <c r="B64" s="229" t="s">
        <v>95</v>
      </c>
      <c r="C64" s="131" t="s">
        <v>26</v>
      </c>
      <c r="D64" s="132">
        <f>D60</f>
        <v>22</v>
      </c>
    </row>
    <row r="65" spans="1:4" x14ac:dyDescent="0.2">
      <c r="A65" s="370"/>
      <c r="B65" s="229" t="str">
        <f>B61</f>
        <v>Quantidades</v>
      </c>
      <c r="C65" s="131" t="s">
        <v>24</v>
      </c>
      <c r="D65" s="133">
        <v>100</v>
      </c>
    </row>
    <row r="66" spans="1:4" x14ac:dyDescent="0.2">
      <c r="A66" s="370"/>
      <c r="B66" s="229" t="str">
        <f>B62</f>
        <v>Peso do material brita: vol base * 0,61890 t/m³ = &gt;</v>
      </c>
      <c r="C66" s="131" t="s">
        <v>22</v>
      </c>
      <c r="D66" s="133">
        <f>D48*0.6189</f>
        <v>1732.92</v>
      </c>
    </row>
    <row r="67" spans="1:4" ht="25.5" x14ac:dyDescent="0.2">
      <c r="A67" s="368"/>
      <c r="B67" s="226" t="s">
        <v>93</v>
      </c>
      <c r="C67" s="214"/>
      <c r="D67" s="227"/>
    </row>
    <row r="68" spans="1:4" x14ac:dyDescent="0.2">
      <c r="A68" s="373"/>
      <c r="B68" s="376" t="s">
        <v>63</v>
      </c>
      <c r="C68" s="232" t="s">
        <v>22</v>
      </c>
      <c r="D68" s="233">
        <f>TRUNC(D69*D70*D71,2)</f>
        <v>355.87</v>
      </c>
    </row>
    <row r="69" spans="1:4" x14ac:dyDescent="0.2">
      <c r="A69" s="370"/>
      <c r="B69" s="229" t="s">
        <v>95</v>
      </c>
      <c r="C69" s="131" t="s">
        <v>26</v>
      </c>
      <c r="D69" s="132">
        <f>D50</f>
        <v>22</v>
      </c>
    </row>
    <row r="70" spans="1:4" x14ac:dyDescent="0.2">
      <c r="A70" s="370"/>
      <c r="B70" s="229" t="s">
        <v>504</v>
      </c>
      <c r="C70" s="131" t="s">
        <v>84</v>
      </c>
      <c r="D70" s="133">
        <f>F7</f>
        <v>13480</v>
      </c>
    </row>
    <row r="71" spans="1:4" x14ac:dyDescent="0.2">
      <c r="A71" s="370"/>
      <c r="B71" s="229" t="s">
        <v>505</v>
      </c>
      <c r="C71" s="131" t="s">
        <v>506</v>
      </c>
      <c r="D71" s="234">
        <v>1.1999999999999999E-3</v>
      </c>
    </row>
    <row r="72" spans="1:4" x14ac:dyDescent="0.2">
      <c r="A72" s="373"/>
      <c r="B72" s="376" t="s">
        <v>64</v>
      </c>
      <c r="C72" s="232" t="s">
        <v>22</v>
      </c>
      <c r="D72" s="233">
        <f>TRUNC(D73*D74*D75,2)</f>
        <v>1254.44</v>
      </c>
    </row>
    <row r="73" spans="1:4" x14ac:dyDescent="0.2">
      <c r="A73" s="370"/>
      <c r="B73" s="229" t="s">
        <v>95</v>
      </c>
      <c r="C73" s="131" t="s">
        <v>26</v>
      </c>
      <c r="D73" s="132">
        <f>D69</f>
        <v>22</v>
      </c>
    </row>
    <row r="74" spans="1:4" x14ac:dyDescent="0.2">
      <c r="A74" s="370"/>
      <c r="B74" s="229" t="s">
        <v>504</v>
      </c>
      <c r="C74" s="131" t="s">
        <v>84</v>
      </c>
      <c r="D74" s="133">
        <f>D70</f>
        <v>13480</v>
      </c>
    </row>
    <row r="75" spans="1:4" x14ac:dyDescent="0.2">
      <c r="A75" s="370"/>
      <c r="B75" s="229" t="s">
        <v>510</v>
      </c>
      <c r="C75" s="131" t="s">
        <v>506</v>
      </c>
      <c r="D75" s="234">
        <f>0.00373+0.0005</f>
        <v>4.2299999999999994E-3</v>
      </c>
    </row>
    <row r="76" spans="1:4" ht="38.25" x14ac:dyDescent="0.2">
      <c r="A76" s="369"/>
      <c r="B76" s="228" t="s">
        <v>27</v>
      </c>
      <c r="C76" s="129" t="s">
        <v>30</v>
      </c>
      <c r="D76" s="130">
        <f>TRUNC(D77*D78,2)</f>
        <v>48309.3</v>
      </c>
    </row>
    <row r="77" spans="1:4" x14ac:dyDescent="0.2">
      <c r="A77" s="370"/>
      <c r="B77" s="229" t="s">
        <v>257</v>
      </c>
      <c r="C77" s="131" t="s">
        <v>24</v>
      </c>
      <c r="D77" s="133">
        <v>30</v>
      </c>
    </row>
    <row r="78" spans="1:4" x14ac:dyDescent="0.2">
      <c r="A78" s="370"/>
      <c r="B78" s="229" t="s">
        <v>522</v>
      </c>
      <c r="C78" s="131" t="s">
        <v>22</v>
      </c>
      <c r="D78" s="133">
        <f>D68+D72</f>
        <v>1610.31</v>
      </c>
    </row>
    <row r="79" spans="1:4" ht="38.25" x14ac:dyDescent="0.2">
      <c r="A79" s="369"/>
      <c r="B79" s="228" t="s">
        <v>31</v>
      </c>
      <c r="C79" s="129" t="s">
        <v>30</v>
      </c>
      <c r="D79" s="130">
        <f>TRUNC(D80*D81,2)</f>
        <v>289855.8</v>
      </c>
    </row>
    <row r="80" spans="1:4" x14ac:dyDescent="0.2">
      <c r="A80" s="370"/>
      <c r="B80" s="229" t="s">
        <v>258</v>
      </c>
      <c r="C80" s="131" t="s">
        <v>24</v>
      </c>
      <c r="D80" s="133">
        <f>210-D77</f>
        <v>180</v>
      </c>
    </row>
    <row r="81" spans="1:4" x14ac:dyDescent="0.2">
      <c r="A81" s="370"/>
      <c r="B81" s="229" t="s">
        <v>522</v>
      </c>
      <c r="C81" s="131" t="s">
        <v>22</v>
      </c>
      <c r="D81" s="133">
        <f>D78</f>
        <v>1610.31</v>
      </c>
    </row>
    <row r="82" spans="1:4" x14ac:dyDescent="0.2">
      <c r="A82" s="368"/>
      <c r="B82" s="226" t="s">
        <v>92</v>
      </c>
      <c r="C82" s="214"/>
      <c r="D82" s="227"/>
    </row>
    <row r="83" spans="1:4" x14ac:dyDescent="0.2">
      <c r="A83" s="369"/>
      <c r="B83" s="228" t="s">
        <v>29</v>
      </c>
      <c r="C83" s="129" t="s">
        <v>7</v>
      </c>
      <c r="D83" s="130">
        <f>TRUNC(D84*D85,2)</f>
        <v>296560</v>
      </c>
    </row>
    <row r="84" spans="1:4" x14ac:dyDescent="0.2">
      <c r="A84" s="370"/>
      <c r="B84" s="229" t="s">
        <v>95</v>
      </c>
      <c r="C84" s="131" t="s">
        <v>26</v>
      </c>
      <c r="D84" s="132">
        <f>D73</f>
        <v>22</v>
      </c>
    </row>
    <row r="85" spans="1:4" ht="25.5" x14ac:dyDescent="0.2">
      <c r="A85" s="370"/>
      <c r="B85" s="229" t="s">
        <v>607</v>
      </c>
      <c r="C85" s="131" t="s">
        <v>7</v>
      </c>
      <c r="D85" s="133">
        <f>F7</f>
        <v>13480</v>
      </c>
    </row>
    <row r="86" spans="1:4" ht="25.5" x14ac:dyDescent="0.2">
      <c r="A86" s="369"/>
      <c r="B86" s="228" t="s">
        <v>28</v>
      </c>
      <c r="C86" s="129" t="s">
        <v>7</v>
      </c>
      <c r="D86" s="130">
        <f>TRUNC(D87*D88,2)</f>
        <v>296560</v>
      </c>
    </row>
    <row r="87" spans="1:4" x14ac:dyDescent="0.2">
      <c r="A87" s="370"/>
      <c r="B87" s="229" t="s">
        <v>95</v>
      </c>
      <c r="C87" s="131" t="s">
        <v>26</v>
      </c>
      <c r="D87" s="132">
        <f>D84</f>
        <v>22</v>
      </c>
    </row>
    <row r="88" spans="1:4" ht="25.5" x14ac:dyDescent="0.2">
      <c r="A88" s="370"/>
      <c r="B88" s="229" t="str">
        <f>B85</f>
        <v>Área da Pav em TSD =&gt; Via com 6,60m (largura( 7m - 0,13 *2 m de cada sarjeta)) x 2.000m (extensão) = &gt;</v>
      </c>
      <c r="C88" s="131" t="s">
        <v>7</v>
      </c>
      <c r="D88" s="133">
        <f>D85</f>
        <v>13480</v>
      </c>
    </row>
    <row r="89" spans="1:4" x14ac:dyDescent="0.2">
      <c r="A89" s="369"/>
      <c r="B89" s="228" t="str">
        <f>'Orçamento Sintético'!E36</f>
        <v>Capa selante - areia comercial</v>
      </c>
      <c r="C89" s="129" t="s">
        <v>7</v>
      </c>
      <c r="D89" s="130">
        <f>TRUNC(D90*D91,2)</f>
        <v>296560</v>
      </c>
    </row>
    <row r="90" spans="1:4" x14ac:dyDescent="0.2">
      <c r="A90" s="370"/>
      <c r="B90" s="229" t="s">
        <v>95</v>
      </c>
      <c r="C90" s="131" t="s">
        <v>26</v>
      </c>
      <c r="D90" s="132">
        <f>D87</f>
        <v>22</v>
      </c>
    </row>
    <row r="91" spans="1:4" ht="25.5" x14ac:dyDescent="0.2">
      <c r="A91" s="370"/>
      <c r="B91" s="229" t="str">
        <f>B88</f>
        <v>Área da Pav em TSD =&gt; Via com 6,60m (largura( 7m - 0,13 *2 m de cada sarjeta)) x 2.000m (extensão) = &gt;</v>
      </c>
      <c r="C91" s="131" t="s">
        <v>7</v>
      </c>
      <c r="D91" s="133">
        <f>D88</f>
        <v>13480</v>
      </c>
    </row>
    <row r="92" spans="1:4" ht="25.5" x14ac:dyDescent="0.2">
      <c r="A92" s="369"/>
      <c r="B92" s="228" t="s">
        <v>507</v>
      </c>
      <c r="C92" s="129" t="s">
        <v>15</v>
      </c>
      <c r="D92" s="130">
        <f>TRUNC(($F$7*(D95*D94))+($F$7*(SUM(D97:D98)*D96))*D93,2)</f>
        <v>20162.71</v>
      </c>
    </row>
    <row r="93" spans="1:4" x14ac:dyDescent="0.2">
      <c r="A93" s="370"/>
      <c r="B93" s="229" t="s">
        <v>95</v>
      </c>
      <c r="C93" s="131" t="s">
        <v>26</v>
      </c>
      <c r="D93" s="132">
        <f>D84</f>
        <v>22</v>
      </c>
    </row>
    <row r="94" spans="1:4" x14ac:dyDescent="0.2">
      <c r="A94" s="370"/>
      <c r="B94" s="229" t="s">
        <v>584</v>
      </c>
      <c r="C94" s="131" t="s">
        <v>24</v>
      </c>
      <c r="D94" s="133">
        <v>5</v>
      </c>
    </row>
    <row r="95" spans="1:4" x14ac:dyDescent="0.2">
      <c r="A95" s="370"/>
      <c r="B95" s="229" t="s">
        <v>583</v>
      </c>
      <c r="C95" s="131" t="s">
        <v>22</v>
      </c>
      <c r="D95" s="235">
        <f>0.00435</f>
        <v>4.3499999999999997E-3</v>
      </c>
    </row>
    <row r="96" spans="1:4" x14ac:dyDescent="0.2">
      <c r="A96" s="370"/>
      <c r="B96" s="229" t="s">
        <v>598</v>
      </c>
      <c r="C96" s="131" t="s">
        <v>24</v>
      </c>
      <c r="D96" s="235">
        <v>2</v>
      </c>
    </row>
    <row r="97" spans="1:7" x14ac:dyDescent="0.2">
      <c r="A97" s="370"/>
      <c r="B97" s="229" t="s">
        <v>103</v>
      </c>
      <c r="C97" s="131" t="s">
        <v>22</v>
      </c>
      <c r="D97" s="235">
        <v>1.0999999999999999E-2</v>
      </c>
    </row>
    <row r="98" spans="1:7" x14ac:dyDescent="0.2">
      <c r="A98" s="370"/>
      <c r="B98" s="229" t="s">
        <v>104</v>
      </c>
      <c r="C98" s="131" t="s">
        <v>22</v>
      </c>
      <c r="D98" s="235">
        <v>2.2499999999999999E-2</v>
      </c>
    </row>
    <row r="99" spans="1:7" ht="25.5" x14ac:dyDescent="0.2">
      <c r="A99" s="369"/>
      <c r="B99" s="228" t="s">
        <v>508</v>
      </c>
      <c r="C99" s="129" t="s">
        <v>15</v>
      </c>
      <c r="D99" s="130">
        <f>TRUNC(($F$7*(D102*D101))+($F$7*(SUM(D104:D105)*D103))*D100,2)</f>
        <v>994062.38</v>
      </c>
    </row>
    <row r="100" spans="1:7" x14ac:dyDescent="0.2">
      <c r="A100" s="370"/>
      <c r="B100" s="229" t="s">
        <v>95</v>
      </c>
      <c r="C100" s="131" t="s">
        <v>26</v>
      </c>
      <c r="D100" s="132">
        <f>D90</f>
        <v>22</v>
      </c>
    </row>
    <row r="101" spans="1:7" x14ac:dyDescent="0.2">
      <c r="A101" s="370"/>
      <c r="B101" s="229" t="s">
        <v>584</v>
      </c>
      <c r="C101" s="131" t="s">
        <v>24</v>
      </c>
      <c r="D101" s="133">
        <v>10</v>
      </c>
    </row>
    <row r="102" spans="1:7" x14ac:dyDescent="0.2">
      <c r="A102" s="370"/>
      <c r="B102" s="229" t="s">
        <v>583</v>
      </c>
      <c r="C102" s="131" t="s">
        <v>22</v>
      </c>
      <c r="D102" s="235">
        <v>4.3499999999999997E-3</v>
      </c>
    </row>
    <row r="103" spans="1:7" x14ac:dyDescent="0.2">
      <c r="A103" s="370"/>
      <c r="B103" s="229" t="s">
        <v>598</v>
      </c>
      <c r="C103" s="131" t="s">
        <v>24</v>
      </c>
      <c r="D103" s="235">
        <v>100</v>
      </c>
    </row>
    <row r="104" spans="1:7" x14ac:dyDescent="0.2">
      <c r="A104" s="370"/>
      <c r="B104" s="229" t="s">
        <v>103</v>
      </c>
      <c r="C104" s="131" t="s">
        <v>22</v>
      </c>
      <c r="D104" s="235">
        <v>1.0999999999999999E-2</v>
      </c>
    </row>
    <row r="105" spans="1:7" x14ac:dyDescent="0.2">
      <c r="A105" s="370"/>
      <c r="B105" s="229" t="s">
        <v>104</v>
      </c>
      <c r="C105" s="131" t="s">
        <v>22</v>
      </c>
      <c r="D105" s="235">
        <v>2.2499999999999999E-2</v>
      </c>
    </row>
    <row r="106" spans="1:7" x14ac:dyDescent="0.2">
      <c r="A106" s="368"/>
      <c r="B106" s="226" t="s">
        <v>87</v>
      </c>
      <c r="C106" s="214"/>
      <c r="D106" s="227"/>
    </row>
    <row r="107" spans="1:7" x14ac:dyDescent="0.2">
      <c r="A107" s="369"/>
      <c r="B107" s="228" t="str">
        <f>'Orçamento Sintético'!E40</f>
        <v>Meio-fio de concreto - MFC 03 - areia e brita comerciais - fôrma de madeira</v>
      </c>
      <c r="C107" s="129" t="s">
        <v>18</v>
      </c>
      <c r="D107" s="130">
        <f>TRUNC(D108*D109,2)</f>
        <v>88000</v>
      </c>
    </row>
    <row r="108" spans="1:7" x14ac:dyDescent="0.2">
      <c r="A108" s="370"/>
      <c r="B108" s="229" t="s">
        <v>95</v>
      </c>
      <c r="C108" s="131" t="s">
        <v>26</v>
      </c>
      <c r="D108" s="132">
        <f>D93</f>
        <v>22</v>
      </c>
    </row>
    <row r="109" spans="1:7" x14ac:dyDescent="0.2">
      <c r="A109" s="370"/>
      <c r="B109" s="377" t="s">
        <v>523</v>
      </c>
      <c r="C109" s="131" t="s">
        <v>11</v>
      </c>
      <c r="D109" s="133">
        <f>F4*2</f>
        <v>4000</v>
      </c>
    </row>
    <row r="110" spans="1:7" customFormat="1" x14ac:dyDescent="0.2">
      <c r="A110" s="371"/>
      <c r="B110" s="228" t="str">
        <f>'Orçamento Sintético'!E41</f>
        <v>Reaterro e compactação com soquete vibratório</v>
      </c>
      <c r="C110" s="129" t="s">
        <v>497</v>
      </c>
      <c r="D110" s="130">
        <f>TRUNC(D112*D113*D114,2)*D111</f>
        <v>6600</v>
      </c>
      <c r="F110" s="334"/>
      <c r="G110" s="220"/>
    </row>
    <row r="111" spans="1:7" customFormat="1" x14ac:dyDescent="0.2">
      <c r="A111" s="372"/>
      <c r="B111" s="229" t="s">
        <v>157</v>
      </c>
      <c r="C111" s="131" t="s">
        <v>26</v>
      </c>
      <c r="D111" s="132">
        <f>D108</f>
        <v>22</v>
      </c>
      <c r="F111" s="335"/>
      <c r="G111" s="220"/>
    </row>
    <row r="112" spans="1:7" customFormat="1" x14ac:dyDescent="0.2">
      <c r="A112" s="372"/>
      <c r="B112" s="377" t="s">
        <v>518</v>
      </c>
      <c r="C112" s="131" t="s">
        <v>11</v>
      </c>
      <c r="D112" s="132">
        <v>0.5</v>
      </c>
      <c r="F112" s="335"/>
      <c r="G112" s="220"/>
    </row>
    <row r="113" spans="1:10" customFormat="1" x14ac:dyDescent="0.2">
      <c r="A113" s="372"/>
      <c r="B113" s="377" t="s">
        <v>519</v>
      </c>
      <c r="C113" s="131" t="s">
        <v>11</v>
      </c>
      <c r="D113" s="132">
        <v>0.15</v>
      </c>
      <c r="F113" s="335"/>
      <c r="G113" s="220"/>
    </row>
    <row r="114" spans="1:10" customFormat="1" x14ac:dyDescent="0.2">
      <c r="A114" s="372"/>
      <c r="B114" s="377" t="s">
        <v>520</v>
      </c>
      <c r="C114" s="131" t="s">
        <v>11</v>
      </c>
      <c r="D114" s="132">
        <f>F4*2</f>
        <v>4000</v>
      </c>
      <c r="F114" s="335"/>
      <c r="G114" s="220"/>
    </row>
    <row r="115" spans="1:10" x14ac:dyDescent="0.2">
      <c r="A115" s="368"/>
      <c r="B115" s="226" t="s">
        <v>86</v>
      </c>
      <c r="C115" s="214"/>
      <c r="D115" s="227"/>
    </row>
    <row r="116" spans="1:10" ht="25.5" x14ac:dyDescent="0.2">
      <c r="A116" s="374"/>
      <c r="B116" s="228" t="str">
        <f>'Orçamento Sintético'!E43</f>
        <v>Placa de regulamentação em aço D = 0,60 m - película retrorrefletiva tipo I + SI - fornecimento e implantação</v>
      </c>
      <c r="C116" s="129" t="s">
        <v>2</v>
      </c>
      <c r="D116" s="130">
        <f>TRUNC(D118*D117,2)</f>
        <v>220</v>
      </c>
      <c r="F116" s="81"/>
      <c r="G116" s="81"/>
      <c r="H116" s="81"/>
      <c r="J116" s="82">
        <f t="shared" ref="J116:J122" si="0">H116*$K$3</f>
        <v>0</v>
      </c>
    </row>
    <row r="117" spans="1:10" x14ac:dyDescent="0.2">
      <c r="A117" s="375"/>
      <c r="B117" s="229" t="s">
        <v>95</v>
      </c>
      <c r="C117" s="131" t="s">
        <v>26</v>
      </c>
      <c r="D117" s="132">
        <f>D108</f>
        <v>22</v>
      </c>
      <c r="F117" s="81"/>
      <c r="G117" s="81"/>
      <c r="H117" s="81"/>
      <c r="J117" s="82">
        <f t="shared" si="0"/>
        <v>0</v>
      </c>
    </row>
    <row r="118" spans="1:10" x14ac:dyDescent="0.2">
      <c r="A118" s="375"/>
      <c r="B118" s="229" t="s">
        <v>606</v>
      </c>
      <c r="C118" s="131" t="s">
        <v>10</v>
      </c>
      <c r="D118" s="133">
        <f>F4/200</f>
        <v>10</v>
      </c>
      <c r="F118" s="81"/>
      <c r="G118" s="81"/>
      <c r="H118" s="81"/>
      <c r="J118" s="82">
        <f t="shared" si="0"/>
        <v>0</v>
      </c>
    </row>
    <row r="119" spans="1:10" ht="25.5" x14ac:dyDescent="0.2">
      <c r="A119" s="374"/>
      <c r="B119" s="228" t="str">
        <f>'Orçamento Sintético'!E44</f>
        <v>Suporte metálico galvanizado para placa de advertência ou regulamentação - lado ou diâmetro de 0,60 m - fornecimento eimplantação</v>
      </c>
      <c r="C119" s="129" t="s">
        <v>2</v>
      </c>
      <c r="D119" s="130">
        <f>TRUNC(D121*D120,2)</f>
        <v>220</v>
      </c>
      <c r="F119" s="81"/>
      <c r="G119" s="81"/>
      <c r="H119" s="81"/>
      <c r="J119" s="82">
        <f t="shared" si="0"/>
        <v>0</v>
      </c>
    </row>
    <row r="120" spans="1:10" x14ac:dyDescent="0.2">
      <c r="A120" s="375"/>
      <c r="B120" s="229" t="s">
        <v>95</v>
      </c>
      <c r="C120" s="131" t="s">
        <v>26</v>
      </c>
      <c r="D120" s="132">
        <f>D117</f>
        <v>22</v>
      </c>
      <c r="F120" s="81"/>
      <c r="G120" s="81"/>
      <c r="H120" s="81"/>
      <c r="J120" s="82">
        <f t="shared" si="0"/>
        <v>0</v>
      </c>
    </row>
    <row r="121" spans="1:10" x14ac:dyDescent="0.2">
      <c r="A121" s="375"/>
      <c r="B121" s="229" t="s">
        <v>605</v>
      </c>
      <c r="C121" s="131" t="s">
        <v>10</v>
      </c>
      <c r="D121" s="133">
        <f>F4/200</f>
        <v>10</v>
      </c>
      <c r="F121" s="81"/>
      <c r="G121" s="81"/>
      <c r="H121" s="81"/>
      <c r="J121" s="82">
        <f t="shared" si="0"/>
        <v>0</v>
      </c>
    </row>
    <row r="122" spans="1:10" x14ac:dyDescent="0.2">
      <c r="A122" s="374"/>
      <c r="B122" s="228" t="str">
        <f>'Orçamento Sintético'!E45</f>
        <v>Pintura de faixa com tinta acrílica - espessura de 0,4 mm</v>
      </c>
      <c r="C122" s="129" t="s">
        <v>266</v>
      </c>
      <c r="D122" s="130">
        <f>TRUNC(D124*D125*D126*D123,2)</f>
        <v>13200</v>
      </c>
      <c r="F122" s="81"/>
      <c r="G122" s="81"/>
      <c r="H122" s="81"/>
      <c r="J122" s="82">
        <f t="shared" si="0"/>
        <v>0</v>
      </c>
    </row>
    <row r="123" spans="1:10" x14ac:dyDescent="0.2">
      <c r="A123" s="375"/>
      <c r="B123" s="229" t="s">
        <v>95</v>
      </c>
      <c r="C123" s="131" t="s">
        <v>26</v>
      </c>
      <c r="D123" s="132">
        <f>D120</f>
        <v>22</v>
      </c>
      <c r="F123" s="81"/>
      <c r="G123" s="81"/>
      <c r="H123" s="81"/>
      <c r="J123" s="82"/>
    </row>
    <row r="124" spans="1:10" x14ac:dyDescent="0.2">
      <c r="A124" s="375"/>
      <c r="B124" s="229" t="s">
        <v>267</v>
      </c>
      <c r="C124" s="131" t="s">
        <v>11</v>
      </c>
      <c r="D124" s="132">
        <f>0.1</f>
        <v>0.1</v>
      </c>
      <c r="F124" s="81"/>
      <c r="G124" s="81"/>
      <c r="H124" s="81"/>
      <c r="J124" s="82"/>
    </row>
    <row r="125" spans="1:10" x14ac:dyDescent="0.2">
      <c r="A125" s="375"/>
      <c r="B125" s="229" t="s">
        <v>268</v>
      </c>
      <c r="C125" s="131" t="s">
        <v>11</v>
      </c>
      <c r="D125" s="132">
        <f>F4</f>
        <v>2000</v>
      </c>
      <c r="F125" s="81"/>
      <c r="G125" s="81"/>
      <c r="H125" s="81"/>
      <c r="J125" s="82"/>
    </row>
    <row r="126" spans="1:10" x14ac:dyDescent="0.2">
      <c r="A126" s="375"/>
      <c r="B126" s="229" t="s">
        <v>303</v>
      </c>
      <c r="C126" s="131" t="s">
        <v>8</v>
      </c>
      <c r="D126" s="133">
        <v>3</v>
      </c>
      <c r="F126" s="81"/>
      <c r="G126" s="81"/>
      <c r="H126" s="81"/>
      <c r="J126" s="82"/>
    </row>
    <row r="127" spans="1:10" x14ac:dyDescent="0.2">
      <c r="A127" s="368"/>
      <c r="B127" s="226" t="s">
        <v>85</v>
      </c>
      <c r="C127" s="214"/>
      <c r="D127" s="227"/>
    </row>
    <row r="128" spans="1:10" ht="25.5" x14ac:dyDescent="0.2">
      <c r="A128" s="369"/>
      <c r="B128" s="228" t="s">
        <v>20</v>
      </c>
      <c r="C128" s="129" t="s">
        <v>11</v>
      </c>
      <c r="D128" s="130">
        <f>ROUND(D129*D130,2)</f>
        <v>1283.1500000000001</v>
      </c>
      <c r="F128" s="80"/>
      <c r="G128" s="418"/>
      <c r="I128" s="340"/>
    </row>
    <row r="129" spans="1:8" x14ac:dyDescent="0.2">
      <c r="A129" s="370"/>
      <c r="B129" s="229" t="s">
        <v>95</v>
      </c>
      <c r="C129" s="131" t="s">
        <v>26</v>
      </c>
      <c r="D129" s="132">
        <f>D123</f>
        <v>22</v>
      </c>
      <c r="F129" s="81"/>
      <c r="G129" s="418"/>
      <c r="H129" s="82"/>
    </row>
    <row r="130" spans="1:8" x14ac:dyDescent="0.2">
      <c r="A130" s="370"/>
      <c r="B130" s="229" t="s">
        <v>587</v>
      </c>
      <c r="C130" s="131" t="s">
        <v>11</v>
      </c>
      <c r="D130" s="133">
        <f>58.3248</f>
        <v>58.324800000000003</v>
      </c>
      <c r="F130" s="342"/>
    </row>
    <row r="131" spans="1:8" ht="25.5" x14ac:dyDescent="0.2">
      <c r="A131" s="369"/>
      <c r="B131" s="228" t="str">
        <f>'Orçamento Sintético'!E48</f>
        <v>LEVANTAMENTO DE TAMPÃO DE POÇO DE VISITA, INCLUINDO RETIRADA E REASSENTAMENTO TAMPÃO.</v>
      </c>
      <c r="C131" s="129" t="s">
        <v>8</v>
      </c>
      <c r="D131" s="130">
        <f>TRUNC(D132*D133,2)</f>
        <v>440</v>
      </c>
      <c r="F131" s="81"/>
    </row>
    <row r="132" spans="1:8" x14ac:dyDescent="0.2">
      <c r="A132" s="370"/>
      <c r="B132" s="229" t="s">
        <v>95</v>
      </c>
      <c r="C132" s="131" t="s">
        <v>26</v>
      </c>
      <c r="D132" s="132">
        <f>D129</f>
        <v>22</v>
      </c>
      <c r="F132" s="346"/>
    </row>
    <row r="133" spans="1:8" x14ac:dyDescent="0.2">
      <c r="A133" s="370"/>
      <c r="B133" s="229" t="s">
        <v>524</v>
      </c>
      <c r="C133" s="131" t="s">
        <v>8</v>
      </c>
      <c r="D133" s="133">
        <f>F4/100</f>
        <v>20</v>
      </c>
      <c r="F133" s="346"/>
    </row>
    <row r="134" spans="1:8" x14ac:dyDescent="0.2">
      <c r="A134" s="369"/>
      <c r="B134" s="228" t="s">
        <v>525</v>
      </c>
      <c r="C134" s="129" t="s">
        <v>8</v>
      </c>
      <c r="D134" s="130">
        <f>TRUNC(D135*D136,2)</f>
        <v>440</v>
      </c>
      <c r="F134" s="81"/>
    </row>
    <row r="135" spans="1:8" x14ac:dyDescent="0.2">
      <c r="A135" s="370"/>
      <c r="B135" s="229" t="s">
        <v>95</v>
      </c>
      <c r="C135" s="131" t="s">
        <v>26</v>
      </c>
      <c r="D135" s="132">
        <f>D132</f>
        <v>22</v>
      </c>
      <c r="F135" s="82"/>
    </row>
    <row r="136" spans="1:8" ht="15" thickBot="1" x14ac:dyDescent="0.25">
      <c r="A136" s="370"/>
      <c r="B136" s="378" t="s">
        <v>570</v>
      </c>
      <c r="C136" s="379" t="s">
        <v>8</v>
      </c>
      <c r="D136" s="380">
        <f>F4/100</f>
        <v>20</v>
      </c>
      <c r="F136" s="80"/>
    </row>
    <row r="137" spans="1:8" x14ac:dyDescent="0.2">
      <c r="A137" s="85"/>
      <c r="B137" s="85"/>
      <c r="C137" s="85"/>
      <c r="D137" s="85"/>
      <c r="G137" s="82"/>
    </row>
    <row r="138" spans="1:8" x14ac:dyDescent="0.2">
      <c r="G138" s="82"/>
    </row>
  </sheetData>
  <mergeCells count="3">
    <mergeCell ref="E1:G2"/>
    <mergeCell ref="B1:D1"/>
    <mergeCell ref="B2:D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99" fitToHeight="0" orientation="portrait" r:id="rId1"/>
  <headerFooter>
    <oddHeader>&amp;L &amp;CCompanhia de Desenvolvimento dos Vales do São Francisco e do Parnaíba</oddHeader>
    <oddFooter>&amp;L &amp;C CODEVASF -  6ªSR Juazeiro / BA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A909B-DCE4-4019-87A1-73EEB6FCBA1C}">
  <sheetPr>
    <pageSetUpPr fitToPage="1"/>
  </sheetPr>
  <dimension ref="A1:Q27"/>
  <sheetViews>
    <sheetView showOutlineSymbols="0" showWhiteSpace="0" view="pageBreakPreview" zoomScale="90" zoomScaleNormal="80" zoomScaleSheetLayoutView="90" workbookViewId="0">
      <selection activeCell="C2" sqref="C2:I2"/>
    </sheetView>
  </sheetViews>
  <sheetFormatPr defaultRowHeight="14.25" x14ac:dyDescent="0.2"/>
  <cols>
    <col min="1" max="1" width="7.625" customWidth="1"/>
    <col min="2" max="2" width="37.375" customWidth="1"/>
    <col min="3" max="3" width="20" bestFit="1" customWidth="1"/>
    <col min="4" max="15" width="14" customWidth="1"/>
    <col min="16" max="30" width="12" bestFit="1" customWidth="1"/>
  </cols>
  <sheetData>
    <row r="1" spans="1:17" s="70" customFormat="1" ht="15" x14ac:dyDescent="0.2">
      <c r="A1" s="163"/>
      <c r="B1" s="164"/>
      <c r="C1" s="429" t="s">
        <v>395</v>
      </c>
      <c r="D1" s="445"/>
      <c r="E1" s="445"/>
      <c r="F1" s="445"/>
      <c r="G1" s="445"/>
      <c r="H1" s="445"/>
      <c r="I1" s="430"/>
      <c r="J1" s="429" t="s">
        <v>65</v>
      </c>
      <c r="K1" s="430"/>
      <c r="L1" s="382" t="str">
        <f>CPUs!G1</f>
        <v>B.D.I. Serviço:</v>
      </c>
      <c r="M1" s="383">
        <f>CPUs!H1</f>
        <v>0.2339</v>
      </c>
      <c r="N1" s="445" t="s">
        <v>66</v>
      </c>
      <c r="O1" s="430"/>
    </row>
    <row r="2" spans="1:17" s="70" customFormat="1" ht="45.75" customHeight="1" thickBot="1" x14ac:dyDescent="0.25">
      <c r="A2" s="102"/>
      <c r="B2" s="165"/>
      <c r="C2" s="439" t="str">
        <f>'Orçamento Sintético'!B4</f>
        <v>EXECUÇÃO DE SERVIÇOS DE PAVIMENTAÇÃO COM TRATAMENTO SUPERFICIAL DUPLO EM VIAS DOS MUNICÍPIOS DIVERSOS INSERIDOS NA ÁREA DE ATUAÇÃO DA 6ª SUPERINTENDÊNCIA DA CODEVASF EM JUAZEIRO/BA - LOTE 01</v>
      </c>
      <c r="D2" s="440"/>
      <c r="E2" s="440"/>
      <c r="F2" s="440"/>
      <c r="G2" s="440"/>
      <c r="H2" s="440"/>
      <c r="I2" s="453"/>
      <c r="J2" s="431" t="str">
        <f>'Orçamento Sintético'!F2</f>
        <v>SINAPI - 09/2023 - Bahia
SICRO3 - 07/2023 - Bahia
ORSE - 09/2023 - Sergipe</v>
      </c>
      <c r="K2" s="432"/>
      <c r="L2" s="422" t="str">
        <f>CPUs!G2</f>
        <v>B.D.I. Material:</v>
      </c>
      <c r="M2" s="423">
        <f>CPUs!H2</f>
        <v>0.15</v>
      </c>
      <c r="N2" s="431" t="str">
        <f>'Orçamento Sintético'!J2</f>
        <v>Não Desonerado: 
Horista: 115,15%
Mensalista: 71,22%</v>
      </c>
      <c r="O2" s="432"/>
    </row>
    <row r="3" spans="1:17" ht="15" x14ac:dyDescent="0.25">
      <c r="A3" s="446" t="s">
        <v>476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8"/>
    </row>
    <row r="4" spans="1:17" ht="15.75" thickBot="1" x14ac:dyDescent="0.25">
      <c r="A4" s="166" t="s">
        <v>0</v>
      </c>
      <c r="B4" s="167" t="s">
        <v>1</v>
      </c>
      <c r="C4" s="168" t="s">
        <v>396</v>
      </c>
      <c r="D4" s="168" t="s">
        <v>397</v>
      </c>
      <c r="E4" s="168" t="s">
        <v>398</v>
      </c>
      <c r="F4" s="168" t="s">
        <v>399</v>
      </c>
      <c r="G4" s="168" t="s">
        <v>400</v>
      </c>
      <c r="H4" s="168" t="s">
        <v>401</v>
      </c>
      <c r="I4" s="168" t="s">
        <v>402</v>
      </c>
      <c r="J4" s="168" t="s">
        <v>403</v>
      </c>
      <c r="K4" s="168" t="s">
        <v>404</v>
      </c>
      <c r="L4" s="168" t="s">
        <v>405</v>
      </c>
      <c r="M4" s="168" t="s">
        <v>406</v>
      </c>
      <c r="N4" s="168" t="s">
        <v>407</v>
      </c>
      <c r="O4" s="169" t="s">
        <v>408</v>
      </c>
    </row>
    <row r="5" spans="1:17" x14ac:dyDescent="0.2">
      <c r="A5" s="449"/>
      <c r="B5" s="451" t="str">
        <f>'[10]CAPA EM CBUQ'!D5</f>
        <v>CAPA ASFÁLTICA EM CBUQ</v>
      </c>
      <c r="C5" s="170">
        <f>C7+C9+C13+C15+C17</f>
        <v>0.93696457459824867</v>
      </c>
      <c r="D5" s="171">
        <f>D6/$C$6</f>
        <v>3.8390798912683113E-2</v>
      </c>
      <c r="E5" s="171">
        <f t="shared" ref="E5:O5" si="0">E6/$C$6</f>
        <v>8.7622155823949097E-2</v>
      </c>
      <c r="F5" s="171">
        <f t="shared" si="0"/>
        <v>0.1012046255555647</v>
      </c>
      <c r="G5" s="171">
        <f t="shared" si="0"/>
        <v>0.1012046255555647</v>
      </c>
      <c r="H5" s="171">
        <f t="shared" si="0"/>
        <v>0.10138439365948401</v>
      </c>
      <c r="I5" s="171">
        <f t="shared" si="0"/>
        <v>9.9487571274177303E-2</v>
      </c>
      <c r="J5" s="171">
        <f t="shared" si="0"/>
        <v>9.9487571274177303E-2</v>
      </c>
      <c r="K5" s="171">
        <f t="shared" si="0"/>
        <v>9.8795374444435285E-2</v>
      </c>
      <c r="L5" s="171">
        <f t="shared" si="0"/>
        <v>9.8795374444435285E-2</v>
      </c>
      <c r="M5" s="171">
        <f t="shared" si="0"/>
        <v>9.8795374444435285E-2</v>
      </c>
      <c r="N5" s="171">
        <f t="shared" si="0"/>
        <v>6.1941861709220232E-2</v>
      </c>
      <c r="O5" s="172">
        <f t="shared" si="0"/>
        <v>1.2890272901873589E-2</v>
      </c>
      <c r="Q5" s="173">
        <f>SUM(D5:O5)</f>
        <v>1</v>
      </c>
    </row>
    <row r="6" spans="1:17" ht="15" thickBot="1" x14ac:dyDescent="0.25">
      <c r="A6" s="450"/>
      <c r="B6" s="452"/>
      <c r="C6" s="174">
        <f>C8+C10+C14+C16+C18+C12+C20</f>
        <v>33058256</v>
      </c>
      <c r="D6" s="174">
        <f t="shared" ref="D6:O6" si="1">D8+D10+D14+D16+D18+D12+D20</f>
        <v>1269132.8585000001</v>
      </c>
      <c r="E6" s="174">
        <f t="shared" si="1"/>
        <v>2896635.6585000004</v>
      </c>
      <c r="F6" s="174">
        <f t="shared" si="1"/>
        <v>3345648.42</v>
      </c>
      <c r="G6" s="174">
        <f t="shared" si="1"/>
        <v>3345648.42</v>
      </c>
      <c r="H6" s="174">
        <f t="shared" si="1"/>
        <v>3351591.2399999993</v>
      </c>
      <c r="I6" s="174">
        <f t="shared" si="1"/>
        <v>3288885.5999999996</v>
      </c>
      <c r="J6" s="174">
        <f t="shared" si="1"/>
        <v>3288885.5999999996</v>
      </c>
      <c r="K6" s="174">
        <f t="shared" si="1"/>
        <v>3266002.7799999993</v>
      </c>
      <c r="L6" s="174">
        <f t="shared" si="1"/>
        <v>3266002.7799999993</v>
      </c>
      <c r="M6" s="174">
        <f t="shared" si="1"/>
        <v>3266002.7799999993</v>
      </c>
      <c r="N6" s="174">
        <f t="shared" si="1"/>
        <v>2047689.9214999999</v>
      </c>
      <c r="O6" s="174">
        <f t="shared" si="1"/>
        <v>426129.94150000002</v>
      </c>
    </row>
    <row r="7" spans="1:17" x14ac:dyDescent="0.2">
      <c r="A7" s="441">
        <v>1</v>
      </c>
      <c r="B7" s="443" t="str">
        <f>'[10]CAPA EM CBUQ'!D6</f>
        <v>PROJETO EXECUTIVO</v>
      </c>
      <c r="C7" s="175">
        <f>C8/$C$6</f>
        <v>5.1242872582268105E-3</v>
      </c>
      <c r="D7" s="176">
        <v>0.3</v>
      </c>
      <c r="E7" s="177">
        <v>0.2</v>
      </c>
      <c r="F7" s="177">
        <v>0.2</v>
      </c>
      <c r="G7" s="177">
        <v>0.2</v>
      </c>
      <c r="H7" s="177">
        <v>0.1</v>
      </c>
      <c r="I7" s="177"/>
      <c r="J7" s="177"/>
      <c r="K7" s="177"/>
      <c r="L7" s="177"/>
      <c r="M7" s="177"/>
      <c r="N7" s="177"/>
      <c r="O7" s="178"/>
      <c r="Q7" s="173">
        <f>SUM(D7:O7)</f>
        <v>0.99999999999999989</v>
      </c>
    </row>
    <row r="8" spans="1:17" ht="15" thickBot="1" x14ac:dyDescent="0.25">
      <c r="A8" s="442"/>
      <c r="B8" s="444"/>
      <c r="C8" s="179">
        <f>'Orçamento Sintético'!J7</f>
        <v>169400</v>
      </c>
      <c r="D8" s="180">
        <f>$C8*D7</f>
        <v>50820</v>
      </c>
      <c r="E8" s="180">
        <f t="shared" ref="E8:O8" si="2">$C8*E7</f>
        <v>33880</v>
      </c>
      <c r="F8" s="180">
        <f t="shared" si="2"/>
        <v>33880</v>
      </c>
      <c r="G8" s="180">
        <f t="shared" si="2"/>
        <v>33880</v>
      </c>
      <c r="H8" s="180">
        <f t="shared" si="2"/>
        <v>16940</v>
      </c>
      <c r="I8" s="180">
        <f t="shared" si="2"/>
        <v>0</v>
      </c>
      <c r="J8" s="180">
        <f t="shared" si="2"/>
        <v>0</v>
      </c>
      <c r="K8" s="180">
        <f t="shared" si="2"/>
        <v>0</v>
      </c>
      <c r="L8" s="180">
        <f t="shared" si="2"/>
        <v>0</v>
      </c>
      <c r="M8" s="180">
        <f t="shared" si="2"/>
        <v>0</v>
      </c>
      <c r="N8" s="180">
        <f t="shared" si="2"/>
        <v>0</v>
      </c>
      <c r="O8" s="181">
        <f t="shared" si="2"/>
        <v>0</v>
      </c>
    </row>
    <row r="9" spans="1:17" x14ac:dyDescent="0.2">
      <c r="A9" s="441">
        <v>2</v>
      </c>
      <c r="B9" s="443" t="str">
        <f>'[10]CAPA EM CBUQ'!D9</f>
        <v>SERVIÇOS PRELIMINARES</v>
      </c>
      <c r="C9" s="175">
        <f>C10/$C$6</f>
        <v>1.3843936594840333E-2</v>
      </c>
      <c r="D9" s="176">
        <v>0.05</v>
      </c>
      <c r="E9" s="177">
        <v>0.1</v>
      </c>
      <c r="F9" s="177">
        <v>0.15</v>
      </c>
      <c r="G9" s="177">
        <v>0.15</v>
      </c>
      <c r="H9" s="177">
        <v>0.2</v>
      </c>
      <c r="I9" s="177">
        <v>0.1</v>
      </c>
      <c r="J9" s="177">
        <v>0.1</v>
      </c>
      <c r="K9" s="177">
        <v>0.05</v>
      </c>
      <c r="L9" s="177">
        <v>0.05</v>
      </c>
      <c r="M9" s="177">
        <v>0.05</v>
      </c>
      <c r="N9" s="177"/>
      <c r="O9" s="178"/>
      <c r="Q9" s="173">
        <f>SUM(D9:O9)</f>
        <v>1.0000000000000002</v>
      </c>
    </row>
    <row r="10" spans="1:17" ht="15" thickBot="1" x14ac:dyDescent="0.25">
      <c r="A10" s="442"/>
      <c r="B10" s="444"/>
      <c r="C10" s="179">
        <f>'Orçamento Sintético'!J9</f>
        <v>457656.4</v>
      </c>
      <c r="D10" s="180">
        <f>$C10*D9</f>
        <v>22882.820000000003</v>
      </c>
      <c r="E10" s="180">
        <f t="shared" ref="E10:O10" si="3">$C10*E9</f>
        <v>45765.640000000007</v>
      </c>
      <c r="F10" s="180">
        <f t="shared" si="3"/>
        <v>68648.460000000006</v>
      </c>
      <c r="G10" s="180">
        <f t="shared" si="3"/>
        <v>68648.460000000006</v>
      </c>
      <c r="H10" s="180">
        <f t="shared" si="3"/>
        <v>91531.280000000013</v>
      </c>
      <c r="I10" s="180">
        <f t="shared" si="3"/>
        <v>45765.640000000007</v>
      </c>
      <c r="J10" s="180">
        <f t="shared" si="3"/>
        <v>45765.640000000007</v>
      </c>
      <c r="K10" s="180">
        <f t="shared" si="3"/>
        <v>22882.820000000003</v>
      </c>
      <c r="L10" s="180">
        <f t="shared" si="3"/>
        <v>22882.820000000003</v>
      </c>
      <c r="M10" s="180">
        <f t="shared" si="3"/>
        <v>22882.820000000003</v>
      </c>
      <c r="N10" s="180">
        <f t="shared" si="3"/>
        <v>0</v>
      </c>
      <c r="O10" s="181">
        <f t="shared" si="3"/>
        <v>0</v>
      </c>
    </row>
    <row r="11" spans="1:17" x14ac:dyDescent="0.2">
      <c r="A11" s="441">
        <v>3</v>
      </c>
      <c r="B11" s="443" t="str">
        <f>'Orçamento Sintético'!E14</f>
        <v>TERRAPLANAGEM</v>
      </c>
      <c r="C11" s="175">
        <f>C12/$C$6</f>
        <v>5.8398240971937541E-2</v>
      </c>
      <c r="D11" s="176">
        <v>0.05</v>
      </c>
      <c r="E11" s="177">
        <v>0.1</v>
      </c>
      <c r="F11" s="177">
        <v>0.1</v>
      </c>
      <c r="G11" s="177">
        <v>0.1</v>
      </c>
      <c r="H11" s="177">
        <v>0.1</v>
      </c>
      <c r="I11" s="177">
        <v>0.1</v>
      </c>
      <c r="J11" s="177">
        <v>0.1</v>
      </c>
      <c r="K11" s="177">
        <v>0.1</v>
      </c>
      <c r="L11" s="177">
        <v>0.1</v>
      </c>
      <c r="M11" s="177">
        <v>0.1</v>
      </c>
      <c r="N11" s="177">
        <v>0.05</v>
      </c>
      <c r="O11" s="178"/>
      <c r="Q11" s="173">
        <f>SUM(D11:O11)</f>
        <v>0.99999999999999989</v>
      </c>
    </row>
    <row r="12" spans="1:17" ht="15" thickBot="1" x14ac:dyDescent="0.25">
      <c r="A12" s="442"/>
      <c r="B12" s="444"/>
      <c r="C12" s="179">
        <f>'Orçamento Sintético'!J14</f>
        <v>1930544</v>
      </c>
      <c r="D12" s="180">
        <f>$C12*D11</f>
        <v>96527.200000000012</v>
      </c>
      <c r="E12" s="180">
        <f t="shared" ref="E12:O12" si="4">$C12*E11</f>
        <v>193054.40000000002</v>
      </c>
      <c r="F12" s="180">
        <f t="shared" si="4"/>
        <v>193054.40000000002</v>
      </c>
      <c r="G12" s="180">
        <f t="shared" si="4"/>
        <v>193054.40000000002</v>
      </c>
      <c r="H12" s="180">
        <f t="shared" si="4"/>
        <v>193054.40000000002</v>
      </c>
      <c r="I12" s="180">
        <f t="shared" si="4"/>
        <v>193054.40000000002</v>
      </c>
      <c r="J12" s="180">
        <f t="shared" si="4"/>
        <v>193054.40000000002</v>
      </c>
      <c r="K12" s="180">
        <f t="shared" si="4"/>
        <v>193054.40000000002</v>
      </c>
      <c r="L12" s="180">
        <f t="shared" si="4"/>
        <v>193054.40000000002</v>
      </c>
      <c r="M12" s="180">
        <f t="shared" si="4"/>
        <v>193054.40000000002</v>
      </c>
      <c r="N12" s="180">
        <f t="shared" si="4"/>
        <v>96527.200000000012</v>
      </c>
      <c r="O12" s="181">
        <f t="shared" si="4"/>
        <v>0</v>
      </c>
    </row>
    <row r="13" spans="1:17" x14ac:dyDescent="0.2">
      <c r="A13" s="441">
        <v>4</v>
      </c>
      <c r="B13" s="443" t="str">
        <f>'[10]CAPA EM CBUQ'!D14</f>
        <v>PAVIMENTAÇÃO</v>
      </c>
      <c r="C13" s="175">
        <f>C14/$C$6</f>
        <v>0.66482807713752357</v>
      </c>
      <c r="D13" s="176">
        <v>0.05</v>
      </c>
      <c r="E13" s="177">
        <v>0.1</v>
      </c>
      <c r="F13" s="177">
        <v>0.1</v>
      </c>
      <c r="G13" s="177">
        <v>0.1</v>
      </c>
      <c r="H13" s="177">
        <v>0.1</v>
      </c>
      <c r="I13" s="177">
        <v>0.1</v>
      </c>
      <c r="J13" s="177">
        <v>0.1</v>
      </c>
      <c r="K13" s="177">
        <v>0.1</v>
      </c>
      <c r="L13" s="177">
        <v>0.1</v>
      </c>
      <c r="M13" s="177">
        <v>0.1</v>
      </c>
      <c r="N13" s="177">
        <v>0.05</v>
      </c>
      <c r="O13" s="178"/>
      <c r="Q13" s="173">
        <f>SUM(D13:O13)</f>
        <v>0.99999999999999989</v>
      </c>
    </row>
    <row r="14" spans="1:17" ht="15" thickBot="1" x14ac:dyDescent="0.25">
      <c r="A14" s="442"/>
      <c r="B14" s="444"/>
      <c r="C14" s="179">
        <f>'Orçamento Sintético'!J21</f>
        <v>21978056.77</v>
      </c>
      <c r="D14" s="180">
        <f>$C14*D13</f>
        <v>1098902.8385000001</v>
      </c>
      <c r="E14" s="180">
        <f t="shared" ref="E14:O14" si="5">$C14*E13</f>
        <v>2197805.6770000001</v>
      </c>
      <c r="F14" s="180">
        <f t="shared" si="5"/>
        <v>2197805.6770000001</v>
      </c>
      <c r="G14" s="180">
        <f t="shared" si="5"/>
        <v>2197805.6770000001</v>
      </c>
      <c r="H14" s="180">
        <f t="shared" si="5"/>
        <v>2197805.6770000001</v>
      </c>
      <c r="I14" s="180">
        <f t="shared" si="5"/>
        <v>2197805.6770000001</v>
      </c>
      <c r="J14" s="180">
        <f t="shared" si="5"/>
        <v>2197805.6770000001</v>
      </c>
      <c r="K14" s="180">
        <f t="shared" si="5"/>
        <v>2197805.6770000001</v>
      </c>
      <c r="L14" s="180">
        <f t="shared" si="5"/>
        <v>2197805.6770000001</v>
      </c>
      <c r="M14" s="180">
        <f t="shared" si="5"/>
        <v>2197805.6770000001</v>
      </c>
      <c r="N14" s="180">
        <f t="shared" si="5"/>
        <v>1098902.8385000001</v>
      </c>
      <c r="O14" s="181">
        <f t="shared" si="5"/>
        <v>0</v>
      </c>
    </row>
    <row r="15" spans="1:17" x14ac:dyDescent="0.2">
      <c r="A15" s="441">
        <v>5</v>
      </c>
      <c r="B15" s="443" t="str">
        <f>'Orçamento Sintético'!E39</f>
        <v>DRENAGEM</v>
      </c>
      <c r="C15" s="175">
        <f>C16/$C$6</f>
        <v>0.23251752905537423</v>
      </c>
      <c r="D15" s="176"/>
      <c r="E15" s="177">
        <v>0.05</v>
      </c>
      <c r="F15" s="177">
        <v>0.1</v>
      </c>
      <c r="G15" s="177">
        <v>0.1</v>
      </c>
      <c r="H15" s="177">
        <v>0.1</v>
      </c>
      <c r="I15" s="177">
        <v>0.1</v>
      </c>
      <c r="J15" s="177">
        <v>0.1</v>
      </c>
      <c r="K15" s="177">
        <v>0.1</v>
      </c>
      <c r="L15" s="177">
        <v>0.1</v>
      </c>
      <c r="M15" s="177">
        <v>0.1</v>
      </c>
      <c r="N15" s="177">
        <v>0.1</v>
      </c>
      <c r="O15" s="178">
        <v>0.05</v>
      </c>
      <c r="Q15" s="173">
        <f>SUM(D15:O15)</f>
        <v>0.99999999999999989</v>
      </c>
    </row>
    <row r="16" spans="1:17" ht="15" thickBot="1" x14ac:dyDescent="0.25">
      <c r="A16" s="442"/>
      <c r="B16" s="444"/>
      <c r="C16" s="179">
        <f>'Orçamento Sintético'!J39</f>
        <v>7686624</v>
      </c>
      <c r="D16" s="180">
        <f>$C16*D15</f>
        <v>0</v>
      </c>
      <c r="E16" s="180">
        <f t="shared" ref="E16:O16" si="6">$C16*E15</f>
        <v>384331.2</v>
      </c>
      <c r="F16" s="180">
        <f t="shared" si="6"/>
        <v>768662.4</v>
      </c>
      <c r="G16" s="180">
        <f t="shared" si="6"/>
        <v>768662.4</v>
      </c>
      <c r="H16" s="180">
        <f t="shared" si="6"/>
        <v>768662.4</v>
      </c>
      <c r="I16" s="180">
        <f t="shared" si="6"/>
        <v>768662.4</v>
      </c>
      <c r="J16" s="180">
        <f t="shared" si="6"/>
        <v>768662.4</v>
      </c>
      <c r="K16" s="180">
        <f t="shared" si="6"/>
        <v>768662.4</v>
      </c>
      <c r="L16" s="180">
        <f t="shared" si="6"/>
        <v>768662.4</v>
      </c>
      <c r="M16" s="180">
        <f t="shared" si="6"/>
        <v>768662.4</v>
      </c>
      <c r="N16" s="180">
        <f t="shared" si="6"/>
        <v>768662.4</v>
      </c>
      <c r="O16" s="181">
        <f t="shared" si="6"/>
        <v>384331.2</v>
      </c>
    </row>
    <row r="17" spans="1:17" x14ac:dyDescent="0.2">
      <c r="A17" s="441">
        <v>6</v>
      </c>
      <c r="B17" s="443" t="str">
        <f>'Orçamento Sintético'!E42</f>
        <v>SINALIZAÇÃO HORIZONTAL E VERTICAL</v>
      </c>
      <c r="C17" s="175">
        <f>C18/$C$6</f>
        <v>2.06507445522837E-2</v>
      </c>
      <c r="D17" s="176"/>
      <c r="E17" s="177">
        <v>0.05</v>
      </c>
      <c r="F17" s="177">
        <v>0.1</v>
      </c>
      <c r="G17" s="177">
        <v>0.1</v>
      </c>
      <c r="H17" s="177">
        <v>0.1</v>
      </c>
      <c r="I17" s="177">
        <v>0.1</v>
      </c>
      <c r="J17" s="177">
        <v>0.1</v>
      </c>
      <c r="K17" s="177">
        <v>0.1</v>
      </c>
      <c r="L17" s="177">
        <v>0.1</v>
      </c>
      <c r="M17" s="177">
        <v>0.1</v>
      </c>
      <c r="N17" s="177">
        <v>0.1</v>
      </c>
      <c r="O17" s="178">
        <v>0.05</v>
      </c>
      <c r="Q17" s="173">
        <f>SUM(D17:O17)</f>
        <v>0.99999999999999989</v>
      </c>
    </row>
    <row r="18" spans="1:17" ht="15" thickBot="1" x14ac:dyDescent="0.25">
      <c r="A18" s="442"/>
      <c r="B18" s="444"/>
      <c r="C18" s="179">
        <f>'Orçamento Sintético'!J42</f>
        <v>682677.6</v>
      </c>
      <c r="D18" s="180">
        <f>$C18*D17</f>
        <v>0</v>
      </c>
      <c r="E18" s="180">
        <f t="shared" ref="E18:O18" si="7">$C18*E17</f>
        <v>34133.879999999997</v>
      </c>
      <c r="F18" s="180">
        <f t="shared" si="7"/>
        <v>68267.759999999995</v>
      </c>
      <c r="G18" s="180">
        <f t="shared" si="7"/>
        <v>68267.759999999995</v>
      </c>
      <c r="H18" s="180">
        <f t="shared" si="7"/>
        <v>68267.759999999995</v>
      </c>
      <c r="I18" s="180">
        <f t="shared" si="7"/>
        <v>68267.759999999995</v>
      </c>
      <c r="J18" s="180">
        <f t="shared" si="7"/>
        <v>68267.759999999995</v>
      </c>
      <c r="K18" s="180">
        <f t="shared" si="7"/>
        <v>68267.759999999995</v>
      </c>
      <c r="L18" s="180">
        <f t="shared" si="7"/>
        <v>68267.759999999995</v>
      </c>
      <c r="M18" s="180">
        <f t="shared" si="7"/>
        <v>68267.759999999995</v>
      </c>
      <c r="N18" s="180">
        <f t="shared" si="7"/>
        <v>68267.759999999995</v>
      </c>
      <c r="O18" s="181">
        <f t="shared" si="7"/>
        <v>34133.879999999997</v>
      </c>
    </row>
    <row r="19" spans="1:17" x14ac:dyDescent="0.2">
      <c r="A19" s="441">
        <v>7</v>
      </c>
      <c r="B19" s="443" t="str">
        <f>'Orçamento Sintético'!E46</f>
        <v>SERVIÇOS COMPLEMENTARES</v>
      </c>
      <c r="C19" s="175">
        <f>C20/$C$6</f>
        <v>4.6371844298138407E-3</v>
      </c>
      <c r="D19" s="176"/>
      <c r="E19" s="177">
        <v>0.05</v>
      </c>
      <c r="F19" s="177">
        <v>0.1</v>
      </c>
      <c r="G19" s="177">
        <v>0.1</v>
      </c>
      <c r="H19" s="177">
        <v>0.1</v>
      </c>
      <c r="I19" s="177">
        <v>0.1</v>
      </c>
      <c r="J19" s="177">
        <v>0.1</v>
      </c>
      <c r="K19" s="177">
        <v>0.1</v>
      </c>
      <c r="L19" s="177">
        <v>0.1</v>
      </c>
      <c r="M19" s="177">
        <v>0.1</v>
      </c>
      <c r="N19" s="177">
        <v>0.1</v>
      </c>
      <c r="O19" s="178">
        <v>0.05</v>
      </c>
      <c r="Q19" s="173">
        <f>SUM(D19:O19)</f>
        <v>0.99999999999999989</v>
      </c>
    </row>
    <row r="20" spans="1:17" ht="15" thickBot="1" x14ac:dyDescent="0.25">
      <c r="A20" s="442"/>
      <c r="B20" s="444"/>
      <c r="C20" s="179">
        <f>'Orçamento Sintético'!J46</f>
        <v>153297.22999999998</v>
      </c>
      <c r="D20" s="180">
        <f>$C20*D19</f>
        <v>0</v>
      </c>
      <c r="E20" s="180">
        <f t="shared" ref="E20:O20" si="8">$C20*E19</f>
        <v>7664.8614999999991</v>
      </c>
      <c r="F20" s="180">
        <f t="shared" si="8"/>
        <v>15329.722999999998</v>
      </c>
      <c r="G20" s="180">
        <f t="shared" si="8"/>
        <v>15329.722999999998</v>
      </c>
      <c r="H20" s="180">
        <f t="shared" si="8"/>
        <v>15329.722999999998</v>
      </c>
      <c r="I20" s="180">
        <f t="shared" si="8"/>
        <v>15329.722999999998</v>
      </c>
      <c r="J20" s="180">
        <f t="shared" si="8"/>
        <v>15329.722999999998</v>
      </c>
      <c r="K20" s="180">
        <f t="shared" si="8"/>
        <v>15329.722999999998</v>
      </c>
      <c r="L20" s="180">
        <f t="shared" si="8"/>
        <v>15329.722999999998</v>
      </c>
      <c r="M20" s="180">
        <f t="shared" si="8"/>
        <v>15329.722999999998</v>
      </c>
      <c r="N20" s="180">
        <f t="shared" si="8"/>
        <v>15329.722999999998</v>
      </c>
      <c r="O20" s="181">
        <f t="shared" si="8"/>
        <v>7664.8614999999991</v>
      </c>
    </row>
    <row r="21" spans="1:17" x14ac:dyDescent="0.2">
      <c r="A21" s="435" t="s">
        <v>409</v>
      </c>
      <c r="B21" s="436"/>
      <c r="C21" s="182"/>
      <c r="D21" s="183">
        <f>D22/$C$6</f>
        <v>3.8390798912683113E-2</v>
      </c>
      <c r="E21" s="183">
        <f t="shared" ref="E21:O21" si="9">E22/$C$6</f>
        <v>8.7622155823949097E-2</v>
      </c>
      <c r="F21" s="183">
        <f t="shared" si="9"/>
        <v>0.1012046255555647</v>
      </c>
      <c r="G21" s="183">
        <f t="shared" si="9"/>
        <v>0.1012046255555647</v>
      </c>
      <c r="H21" s="183">
        <f t="shared" si="9"/>
        <v>0.10138439365948401</v>
      </c>
      <c r="I21" s="183">
        <f t="shared" si="9"/>
        <v>9.9487571274177303E-2</v>
      </c>
      <c r="J21" s="183">
        <f t="shared" si="9"/>
        <v>9.9487571274177303E-2</v>
      </c>
      <c r="K21" s="183">
        <f t="shared" si="9"/>
        <v>9.8795374444435285E-2</v>
      </c>
      <c r="L21" s="183">
        <f t="shared" si="9"/>
        <v>9.8795374444435285E-2</v>
      </c>
      <c r="M21" s="183">
        <f t="shared" si="9"/>
        <v>9.8795374444435285E-2</v>
      </c>
      <c r="N21" s="183">
        <f t="shared" si="9"/>
        <v>6.1941861709220232E-2</v>
      </c>
      <c r="O21" s="184">
        <f t="shared" si="9"/>
        <v>1.2890272901873589E-2</v>
      </c>
      <c r="Q21" s="173">
        <f>SUM(D21:O21)</f>
        <v>1</v>
      </c>
    </row>
    <row r="22" spans="1:17" x14ac:dyDescent="0.2">
      <c r="A22" s="437" t="s">
        <v>410</v>
      </c>
      <c r="B22" s="438"/>
      <c r="C22" s="159"/>
      <c r="D22" s="185">
        <f t="shared" ref="D22:O22" si="10">D6</f>
        <v>1269132.8585000001</v>
      </c>
      <c r="E22" s="185">
        <f t="shared" si="10"/>
        <v>2896635.6585000004</v>
      </c>
      <c r="F22" s="185">
        <f t="shared" si="10"/>
        <v>3345648.42</v>
      </c>
      <c r="G22" s="185">
        <f t="shared" si="10"/>
        <v>3345648.42</v>
      </c>
      <c r="H22" s="185">
        <f t="shared" si="10"/>
        <v>3351591.2399999993</v>
      </c>
      <c r="I22" s="185">
        <f t="shared" si="10"/>
        <v>3288885.5999999996</v>
      </c>
      <c r="J22" s="185">
        <f t="shared" si="10"/>
        <v>3288885.5999999996</v>
      </c>
      <c r="K22" s="185">
        <f t="shared" si="10"/>
        <v>3266002.7799999993</v>
      </c>
      <c r="L22" s="185">
        <f t="shared" si="10"/>
        <v>3266002.7799999993</v>
      </c>
      <c r="M22" s="185">
        <f t="shared" si="10"/>
        <v>3266002.7799999993</v>
      </c>
      <c r="N22" s="185">
        <f t="shared" si="10"/>
        <v>2047689.9214999999</v>
      </c>
      <c r="O22" s="186">
        <f t="shared" si="10"/>
        <v>426129.94150000002</v>
      </c>
    </row>
    <row r="23" spans="1:17" x14ac:dyDescent="0.2">
      <c r="A23" s="437" t="s">
        <v>411</v>
      </c>
      <c r="B23" s="438"/>
      <c r="C23" s="159"/>
      <c r="D23" s="187">
        <f>D24/$C$6</f>
        <v>3.8390798912683113E-2</v>
      </c>
      <c r="E23" s="187">
        <f t="shared" ref="E23:O23" si="11">E24/$C$6</f>
        <v>0.12601295473663221</v>
      </c>
      <c r="F23" s="187">
        <f t="shared" si="11"/>
        <v>0.22721758029219694</v>
      </c>
      <c r="G23" s="187">
        <f t="shared" si="11"/>
        <v>0.32842220584776161</v>
      </c>
      <c r="H23" s="187">
        <f t="shared" si="11"/>
        <v>0.42980659950724559</v>
      </c>
      <c r="I23" s="187">
        <f t="shared" si="11"/>
        <v>0.52929417078142282</v>
      </c>
      <c r="J23" s="187">
        <f t="shared" si="11"/>
        <v>0.62878174205560022</v>
      </c>
      <c r="K23" s="187">
        <f t="shared" si="11"/>
        <v>0.72757711650003554</v>
      </c>
      <c r="L23" s="187">
        <f t="shared" si="11"/>
        <v>0.82637249094447085</v>
      </c>
      <c r="M23" s="187">
        <f t="shared" si="11"/>
        <v>0.92516786538890627</v>
      </c>
      <c r="N23" s="187">
        <f t="shared" si="11"/>
        <v>0.9871097270981265</v>
      </c>
      <c r="O23" s="188">
        <f t="shared" si="11"/>
        <v>1.0000000000000002</v>
      </c>
    </row>
    <row r="24" spans="1:17" ht="15" thickBot="1" x14ac:dyDescent="0.25">
      <c r="A24" s="439" t="s">
        <v>412</v>
      </c>
      <c r="B24" s="440"/>
      <c r="C24" s="189"/>
      <c r="D24" s="190">
        <f>D22</f>
        <v>1269132.8585000001</v>
      </c>
      <c r="E24" s="190">
        <f t="shared" ref="E24:O24" si="12">D24+E22</f>
        <v>4165768.5170000005</v>
      </c>
      <c r="F24" s="190">
        <f t="shared" si="12"/>
        <v>7511416.9370000008</v>
      </c>
      <c r="G24" s="190">
        <f t="shared" si="12"/>
        <v>10857065.357000001</v>
      </c>
      <c r="H24" s="190">
        <f t="shared" si="12"/>
        <v>14208656.596999999</v>
      </c>
      <c r="I24" s="190">
        <f t="shared" si="12"/>
        <v>17497542.196999997</v>
      </c>
      <c r="J24" s="190">
        <f t="shared" si="12"/>
        <v>20786427.796999998</v>
      </c>
      <c r="K24" s="190">
        <f t="shared" si="12"/>
        <v>24052430.577</v>
      </c>
      <c r="L24" s="190">
        <f t="shared" si="12"/>
        <v>27318433.357000001</v>
      </c>
      <c r="M24" s="190">
        <f t="shared" si="12"/>
        <v>30584436.137000002</v>
      </c>
      <c r="N24" s="190">
        <f t="shared" si="12"/>
        <v>32632126.058500003</v>
      </c>
      <c r="O24" s="191">
        <f t="shared" si="12"/>
        <v>33058256.000000004</v>
      </c>
    </row>
    <row r="25" spans="1:17" x14ac:dyDescent="0.2">
      <c r="A25" s="160"/>
      <c r="B25" s="160"/>
      <c r="C25" s="160"/>
      <c r="D25" s="160"/>
      <c r="E25" s="160"/>
      <c r="F25" s="160"/>
      <c r="G25" s="160"/>
    </row>
    <row r="27" spans="1:17" x14ac:dyDescent="0.2">
      <c r="Q27">
        <f>SUM(D27:P27)</f>
        <v>0</v>
      </c>
    </row>
  </sheetData>
  <mergeCells count="27">
    <mergeCell ref="A9:A10"/>
    <mergeCell ref="B9:B10"/>
    <mergeCell ref="C1:I1"/>
    <mergeCell ref="J1:K1"/>
    <mergeCell ref="A3:O3"/>
    <mergeCell ref="A5:A6"/>
    <mergeCell ref="B5:B6"/>
    <mergeCell ref="A7:A8"/>
    <mergeCell ref="B7:B8"/>
    <mergeCell ref="N1:O1"/>
    <mergeCell ref="C2:I2"/>
    <mergeCell ref="J2:K2"/>
    <mergeCell ref="N2:O2"/>
    <mergeCell ref="A21:B21"/>
    <mergeCell ref="A22:B22"/>
    <mergeCell ref="A23:B23"/>
    <mergeCell ref="A24:B24"/>
    <mergeCell ref="A11:A12"/>
    <mergeCell ref="B11:B12"/>
    <mergeCell ref="A19:A20"/>
    <mergeCell ref="B19:B20"/>
    <mergeCell ref="A13:A14"/>
    <mergeCell ref="B13:B14"/>
    <mergeCell ref="A15:A16"/>
    <mergeCell ref="B15:B16"/>
    <mergeCell ref="A17:A18"/>
    <mergeCell ref="B17:B18"/>
  </mergeCells>
  <pageMargins left="0.51181102362204722" right="0.51181102362204722" top="0.98425196850393704" bottom="0.98425196850393704" header="0.51181102362204722" footer="0.51181102362204722"/>
  <pageSetup paperSize="9" scale="53" fitToHeight="0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CCCF4-28AE-44FC-B360-94396457F3B0}">
  <sheetPr>
    <pageSetUpPr fitToPage="1"/>
  </sheetPr>
  <dimension ref="A1:M911"/>
  <sheetViews>
    <sheetView showOutlineSymbols="0" showWhiteSpace="0" view="pageBreakPreview" zoomScale="80" zoomScaleNormal="80" zoomScaleSheetLayoutView="80" workbookViewId="0">
      <selection activeCell="B21" sqref="B21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6" width="12" bestFit="1" customWidth="1"/>
    <col min="7" max="7" width="13.5" customWidth="1"/>
    <col min="8" max="9" width="12" bestFit="1" customWidth="1"/>
    <col min="10" max="11" width="14" bestFit="1" customWidth="1"/>
    <col min="13" max="13" width="13.875" bestFit="1" customWidth="1"/>
  </cols>
  <sheetData>
    <row r="1" spans="1:10" ht="15" x14ac:dyDescent="0.2">
      <c r="A1" s="139"/>
      <c r="B1" s="139"/>
      <c r="C1" s="470" t="s">
        <v>108</v>
      </c>
      <c r="D1" s="470"/>
      <c r="E1" s="470" t="s">
        <v>65</v>
      </c>
      <c r="F1" s="470"/>
      <c r="G1" s="389" t="str">
        <f>'Orçamento Sintético'!H1</f>
        <v>B.D.I. Serviço:</v>
      </c>
      <c r="H1" s="390">
        <f>'Orçamento Sintético'!I1</f>
        <v>0.2339</v>
      </c>
      <c r="I1" s="470" t="s">
        <v>66</v>
      </c>
      <c r="J1" s="470"/>
    </row>
    <row r="2" spans="1:10" ht="43.5" customHeight="1" x14ac:dyDescent="0.2">
      <c r="A2" s="159"/>
      <c r="B2" s="159"/>
      <c r="C2" s="438" t="str">
        <f>CFF!C2</f>
        <v>EXECUÇÃO DE SERVIÇOS DE PAVIMENTAÇÃO COM TRATAMENTO SUPERFICIAL DUPLO EM VIAS DOS MUNICÍPIOS DIVERSOS INSERIDOS NA ÁREA DE ATUAÇÃO DA 6ª SUPERINTENDÊNCIA DA CODEVASF EM JUAZEIRO/BA - LOTE 01</v>
      </c>
      <c r="D2" s="438"/>
      <c r="E2" s="438" t="str">
        <f>'Orçamento Sintético'!F2</f>
        <v>SINAPI - 09/2023 - Bahia
SICRO3 - 07/2023 - Bahia
ORSE - 09/2023 - Sergipe</v>
      </c>
      <c r="F2" s="438"/>
      <c r="G2" s="389" t="str">
        <f>'Orçamento Sintético'!H2</f>
        <v>B.D.I. Material:</v>
      </c>
      <c r="H2" s="390">
        <f>'Orçamento Sintético'!I2</f>
        <v>0.15</v>
      </c>
      <c r="I2" s="438" t="str">
        <f>CFF!N2</f>
        <v>Não Desonerado: 
Horista: 115,15%
Mensalista: 71,22%</v>
      </c>
      <c r="J2" s="438"/>
    </row>
    <row r="3" spans="1:10" ht="15" x14ac:dyDescent="0.25">
      <c r="A3" s="471" t="s">
        <v>108</v>
      </c>
      <c r="B3" s="472"/>
      <c r="C3" s="472"/>
      <c r="D3" s="472"/>
      <c r="E3" s="472"/>
      <c r="F3" s="472"/>
      <c r="G3" s="472"/>
      <c r="H3" s="472"/>
      <c r="I3" s="472"/>
      <c r="J3" s="472"/>
    </row>
    <row r="4" spans="1:10" ht="30" customHeight="1" x14ac:dyDescent="0.25">
      <c r="A4" s="471" t="s">
        <v>109</v>
      </c>
      <c r="B4" s="472"/>
      <c r="C4" s="472"/>
      <c r="D4" s="472"/>
      <c r="E4" s="472"/>
      <c r="F4" s="472"/>
      <c r="G4" s="472"/>
      <c r="H4" s="472"/>
      <c r="I4" s="472"/>
      <c r="J4" s="472"/>
    </row>
    <row r="5" spans="1:10" ht="18" customHeight="1" x14ac:dyDescent="0.2">
      <c r="A5" s="140" t="s">
        <v>272</v>
      </c>
      <c r="B5" s="142" t="s">
        <v>67</v>
      </c>
      <c r="C5" s="140" t="s">
        <v>68</v>
      </c>
      <c r="D5" s="140" t="s">
        <v>1</v>
      </c>
      <c r="E5" s="466" t="s">
        <v>110</v>
      </c>
      <c r="F5" s="466"/>
      <c r="G5" s="141" t="s">
        <v>2</v>
      </c>
      <c r="H5" s="142" t="s">
        <v>3</v>
      </c>
      <c r="I5" s="142" t="s">
        <v>69</v>
      </c>
      <c r="J5" s="142" t="s">
        <v>45</v>
      </c>
    </row>
    <row r="6" spans="1:10" ht="26.1" customHeight="1" x14ac:dyDescent="0.2">
      <c r="A6" s="143" t="s">
        <v>111</v>
      </c>
      <c r="B6" s="145" t="str">
        <f>'Orçamento Sintético'!C8</f>
        <v xml:space="preserve"> CPU 01</v>
      </c>
      <c r="C6" s="143" t="s">
        <v>71</v>
      </c>
      <c r="D6" s="143" t="str">
        <f>'Orçamento Sintético'!E8</f>
        <v>PROJETO EXECUTIVO COM TOPOGRAFIA</v>
      </c>
      <c r="E6" s="468" t="s">
        <v>144</v>
      </c>
      <c r="F6" s="468"/>
      <c r="G6" s="144" t="s">
        <v>84</v>
      </c>
      <c r="H6" s="147">
        <v>1</v>
      </c>
      <c r="I6" s="146"/>
      <c r="J6" s="146">
        <f>J7</f>
        <v>0.45</v>
      </c>
    </row>
    <row r="7" spans="1:10" ht="26.1" customHeight="1" x14ac:dyDescent="0.2">
      <c r="A7" s="149" t="s">
        <v>113</v>
      </c>
      <c r="B7" s="151" t="s">
        <v>478</v>
      </c>
      <c r="C7" s="149" t="s">
        <v>71</v>
      </c>
      <c r="D7" s="149" t="s">
        <v>477</v>
      </c>
      <c r="E7" s="473" t="s">
        <v>144</v>
      </c>
      <c r="F7" s="473"/>
      <c r="G7" s="150" t="s">
        <v>84</v>
      </c>
      <c r="H7" s="153">
        <v>1</v>
      </c>
      <c r="I7" s="152">
        <f>'Projeto Executivo'!H26</f>
        <v>0.45</v>
      </c>
      <c r="J7" s="152">
        <f>TRUNC(H7*I7,2)</f>
        <v>0.45</v>
      </c>
    </row>
    <row r="8" spans="1:10" x14ac:dyDescent="0.2">
      <c r="A8" s="161"/>
      <c r="B8" s="161"/>
      <c r="C8" s="161"/>
      <c r="D8" s="161"/>
      <c r="E8" s="161"/>
      <c r="F8" s="162"/>
      <c r="G8" s="161"/>
      <c r="H8" s="162"/>
      <c r="I8" s="161"/>
      <c r="J8" s="162"/>
    </row>
    <row r="9" spans="1:10" ht="15" thickBot="1" x14ac:dyDescent="0.25">
      <c r="A9" s="161"/>
      <c r="B9" s="161"/>
      <c r="C9" s="161"/>
      <c r="D9" s="161"/>
      <c r="E9" s="161" t="s">
        <v>116</v>
      </c>
      <c r="F9" s="162">
        <f>TRUNC(J6*H1,2)</f>
        <v>0.1</v>
      </c>
      <c r="G9" s="161"/>
      <c r="H9" s="467" t="s">
        <v>117</v>
      </c>
      <c r="I9" s="467"/>
      <c r="J9" s="162">
        <f>F9+J6</f>
        <v>0.55000000000000004</v>
      </c>
    </row>
    <row r="10" spans="1:10" ht="0.95" customHeight="1" thickTop="1" x14ac:dyDescent="0.2">
      <c r="A10" s="148"/>
      <c r="B10" s="148"/>
      <c r="C10" s="148"/>
      <c r="D10" s="148"/>
      <c r="E10" s="148"/>
      <c r="F10" s="148"/>
      <c r="G10" s="148"/>
      <c r="H10" s="148"/>
      <c r="I10" s="148"/>
      <c r="J10" s="148"/>
    </row>
    <row r="11" spans="1:10" ht="18" customHeight="1" x14ac:dyDescent="0.2">
      <c r="A11" s="140" t="s">
        <v>273</v>
      </c>
      <c r="B11" s="142" t="s">
        <v>67</v>
      </c>
      <c r="C11" s="140" t="s">
        <v>68</v>
      </c>
      <c r="D11" s="140" t="s">
        <v>1</v>
      </c>
      <c r="E11" s="466" t="s">
        <v>110</v>
      </c>
      <c r="F11" s="466"/>
      <c r="G11" s="141" t="s">
        <v>2</v>
      </c>
      <c r="H11" s="142" t="s">
        <v>3</v>
      </c>
      <c r="I11" s="142" t="s">
        <v>69</v>
      </c>
      <c r="J11" s="142" t="s">
        <v>45</v>
      </c>
    </row>
    <row r="12" spans="1:10" ht="24" customHeight="1" x14ac:dyDescent="0.2">
      <c r="A12" s="143" t="s">
        <v>111</v>
      </c>
      <c r="B12" s="145" t="s">
        <v>653</v>
      </c>
      <c r="C12" s="143" t="s">
        <v>71</v>
      </c>
      <c r="D12" s="143" t="s">
        <v>72</v>
      </c>
      <c r="E12" s="385" t="s">
        <v>112</v>
      </c>
      <c r="F12" s="386"/>
      <c r="G12" s="144" t="s">
        <v>5</v>
      </c>
      <c r="H12" s="147">
        <v>1</v>
      </c>
      <c r="I12" s="146">
        <v>0.53</v>
      </c>
      <c r="J12" s="146">
        <v>0.53</v>
      </c>
    </row>
    <row r="13" spans="1:10" ht="26.1" customHeight="1" x14ac:dyDescent="0.2">
      <c r="A13" s="149" t="s">
        <v>113</v>
      </c>
      <c r="B13" s="151">
        <v>5914640</v>
      </c>
      <c r="C13" s="149" t="s">
        <v>77</v>
      </c>
      <c r="D13" s="149" t="s">
        <v>115</v>
      </c>
      <c r="E13" s="387"/>
      <c r="F13" s="388"/>
      <c r="G13" s="150" t="s">
        <v>15</v>
      </c>
      <c r="H13" s="153">
        <v>1</v>
      </c>
      <c r="I13" s="152">
        <v>0.53</v>
      </c>
      <c r="J13" s="152">
        <v>0.53</v>
      </c>
    </row>
    <row r="14" spans="1:10" x14ac:dyDescent="0.2">
      <c r="A14" s="161"/>
      <c r="B14" s="161"/>
      <c r="C14" s="161"/>
      <c r="D14" s="161"/>
      <c r="E14" s="161"/>
      <c r="F14" s="162"/>
      <c r="G14" s="161"/>
      <c r="H14" s="162"/>
      <c r="I14" s="161"/>
      <c r="J14" s="162"/>
    </row>
    <row r="15" spans="1:10" ht="15" thickBot="1" x14ac:dyDescent="0.25">
      <c r="A15" s="161"/>
      <c r="B15" s="161"/>
      <c r="C15" s="161"/>
      <c r="D15" s="161"/>
      <c r="E15" s="161" t="s">
        <v>116</v>
      </c>
      <c r="F15" s="162">
        <v>0.12</v>
      </c>
      <c r="G15" s="161"/>
      <c r="H15" s="467" t="s">
        <v>117</v>
      </c>
      <c r="I15" s="467"/>
      <c r="J15" s="162">
        <v>0.65</v>
      </c>
    </row>
    <row r="16" spans="1:10" ht="0.95" customHeight="1" thickTop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ht="18" customHeight="1" x14ac:dyDescent="0.2">
      <c r="A17" s="140" t="s">
        <v>274</v>
      </c>
      <c r="B17" s="142" t="s">
        <v>67</v>
      </c>
      <c r="C17" s="140" t="s">
        <v>68</v>
      </c>
      <c r="D17" s="140" t="s">
        <v>1</v>
      </c>
      <c r="E17" s="466" t="s">
        <v>110</v>
      </c>
      <c r="F17" s="466"/>
      <c r="G17" s="141" t="s">
        <v>2</v>
      </c>
      <c r="H17" s="142" t="s">
        <v>3</v>
      </c>
      <c r="I17" s="142" t="s">
        <v>69</v>
      </c>
      <c r="J17" s="142" t="s">
        <v>45</v>
      </c>
    </row>
    <row r="18" spans="1:10" ht="24" customHeight="1" x14ac:dyDescent="0.2">
      <c r="A18" s="143" t="s">
        <v>111</v>
      </c>
      <c r="B18" s="145" t="s">
        <v>305</v>
      </c>
      <c r="C18" s="143" t="s">
        <v>75</v>
      </c>
      <c r="D18" s="143" t="s">
        <v>306</v>
      </c>
      <c r="E18" s="385" t="s">
        <v>127</v>
      </c>
      <c r="F18" s="386"/>
      <c r="G18" s="144" t="s">
        <v>7</v>
      </c>
      <c r="H18" s="147">
        <v>1</v>
      </c>
      <c r="I18" s="146">
        <v>449.3</v>
      </c>
      <c r="J18" s="146">
        <v>449.3</v>
      </c>
    </row>
    <row r="19" spans="1:10" ht="39" customHeight="1" x14ac:dyDescent="0.2">
      <c r="A19" s="149" t="s">
        <v>113</v>
      </c>
      <c r="B19" s="151">
        <v>94962</v>
      </c>
      <c r="C19" s="149" t="s">
        <v>75</v>
      </c>
      <c r="D19" s="149" t="s">
        <v>308</v>
      </c>
      <c r="E19" s="387" t="s">
        <v>219</v>
      </c>
      <c r="F19" s="388"/>
      <c r="G19" s="150" t="s">
        <v>14</v>
      </c>
      <c r="H19" s="153">
        <v>0.01</v>
      </c>
      <c r="I19" s="152">
        <v>398.03</v>
      </c>
      <c r="J19" s="152">
        <v>3.98</v>
      </c>
    </row>
    <row r="20" spans="1:10" ht="24" customHeight="1" x14ac:dyDescent="0.2">
      <c r="A20" s="149" t="s">
        <v>113</v>
      </c>
      <c r="B20" s="151">
        <v>88262</v>
      </c>
      <c r="C20" s="149" t="s">
        <v>75</v>
      </c>
      <c r="D20" s="149" t="s">
        <v>118</v>
      </c>
      <c r="E20" s="387" t="s">
        <v>112</v>
      </c>
      <c r="F20" s="388"/>
      <c r="G20" s="150" t="s">
        <v>119</v>
      </c>
      <c r="H20" s="153">
        <v>1</v>
      </c>
      <c r="I20" s="152">
        <v>30.2</v>
      </c>
      <c r="J20" s="152">
        <v>30.2</v>
      </c>
    </row>
    <row r="21" spans="1:10" ht="26.1" customHeight="1" x14ac:dyDescent="0.2">
      <c r="A21" s="154" t="s">
        <v>120</v>
      </c>
      <c r="B21" s="156">
        <v>4813</v>
      </c>
      <c r="C21" s="154" t="s">
        <v>75</v>
      </c>
      <c r="D21" s="154" t="s">
        <v>121</v>
      </c>
      <c r="E21" s="392" t="s">
        <v>54</v>
      </c>
      <c r="F21" s="393"/>
      <c r="G21" s="155" t="s">
        <v>7</v>
      </c>
      <c r="H21" s="158">
        <v>1</v>
      </c>
      <c r="I21" s="157">
        <v>325</v>
      </c>
      <c r="J21" s="157">
        <v>325</v>
      </c>
    </row>
    <row r="22" spans="1:10" ht="26.1" customHeight="1" x14ac:dyDescent="0.2">
      <c r="A22" s="154" t="s">
        <v>120</v>
      </c>
      <c r="B22" s="156">
        <v>4491</v>
      </c>
      <c r="C22" s="154" t="s">
        <v>75</v>
      </c>
      <c r="D22" s="154" t="s">
        <v>309</v>
      </c>
      <c r="E22" s="392" t="s">
        <v>54</v>
      </c>
      <c r="F22" s="393"/>
      <c r="G22" s="155" t="s">
        <v>18</v>
      </c>
      <c r="H22" s="158">
        <v>4</v>
      </c>
      <c r="I22" s="157">
        <v>9.35</v>
      </c>
      <c r="J22" s="157">
        <v>37.4</v>
      </c>
    </row>
    <row r="23" spans="1:10" ht="26.1" customHeight="1" x14ac:dyDescent="0.2">
      <c r="A23" s="154" t="s">
        <v>120</v>
      </c>
      <c r="B23" s="156">
        <v>5075</v>
      </c>
      <c r="C23" s="154" t="s">
        <v>75</v>
      </c>
      <c r="D23" s="154" t="s">
        <v>122</v>
      </c>
      <c r="E23" s="392" t="s">
        <v>54</v>
      </c>
      <c r="F23" s="393"/>
      <c r="G23" s="155" t="s">
        <v>21</v>
      </c>
      <c r="H23" s="158">
        <v>0.11</v>
      </c>
      <c r="I23" s="157">
        <v>19.170000000000002</v>
      </c>
      <c r="J23" s="157">
        <v>2.1</v>
      </c>
    </row>
    <row r="24" spans="1:10" ht="26.1" customHeight="1" x14ac:dyDescent="0.2">
      <c r="A24" s="154" t="s">
        <v>120</v>
      </c>
      <c r="B24" s="156">
        <v>4417</v>
      </c>
      <c r="C24" s="154" t="s">
        <v>75</v>
      </c>
      <c r="D24" s="154" t="s">
        <v>310</v>
      </c>
      <c r="E24" s="392" t="s">
        <v>54</v>
      </c>
      <c r="F24" s="393"/>
      <c r="G24" s="155" t="s">
        <v>18</v>
      </c>
      <c r="H24" s="158">
        <v>1</v>
      </c>
      <c r="I24" s="157">
        <v>7.41</v>
      </c>
      <c r="J24" s="157">
        <v>7.41</v>
      </c>
    </row>
    <row r="25" spans="1:10" ht="24" customHeight="1" x14ac:dyDescent="0.2">
      <c r="A25" s="154" t="s">
        <v>120</v>
      </c>
      <c r="B25" s="156" t="s">
        <v>123</v>
      </c>
      <c r="C25" s="154" t="s">
        <v>77</v>
      </c>
      <c r="D25" s="154" t="s">
        <v>124</v>
      </c>
      <c r="E25" s="392" t="s">
        <v>125</v>
      </c>
      <c r="F25" s="393"/>
      <c r="G25" s="155" t="s">
        <v>126</v>
      </c>
      <c r="H25" s="158">
        <v>2</v>
      </c>
      <c r="I25" s="157">
        <v>21.61</v>
      </c>
      <c r="J25" s="157">
        <v>43.21</v>
      </c>
    </row>
    <row r="26" spans="1:10" x14ac:dyDescent="0.2">
      <c r="A26" s="161"/>
      <c r="B26" s="161"/>
      <c r="C26" s="161"/>
      <c r="D26" s="161"/>
      <c r="E26" s="161"/>
      <c r="F26" s="162"/>
      <c r="G26" s="161"/>
      <c r="H26" s="162"/>
      <c r="I26" s="161"/>
      <c r="J26" s="162"/>
    </row>
    <row r="27" spans="1:10" ht="15" customHeight="1" thickBot="1" x14ac:dyDescent="0.25">
      <c r="A27" s="161"/>
      <c r="B27" s="161"/>
      <c r="C27" s="161"/>
      <c r="D27" s="161"/>
      <c r="E27" s="161" t="s">
        <v>116</v>
      </c>
      <c r="F27" s="162">
        <v>105.09</v>
      </c>
      <c r="G27" s="161"/>
      <c r="H27" s="161" t="s">
        <v>117</v>
      </c>
      <c r="I27" s="161"/>
      <c r="J27" s="162">
        <v>554.39</v>
      </c>
    </row>
    <row r="28" spans="1:10" ht="0.95" customHeight="1" thickTop="1" x14ac:dyDescent="0.2">
      <c r="A28" s="148"/>
      <c r="B28" s="148"/>
      <c r="C28" s="148"/>
      <c r="D28" s="148"/>
      <c r="E28" s="148"/>
      <c r="F28" s="148"/>
      <c r="G28" s="148"/>
      <c r="H28" s="148"/>
      <c r="I28" s="148"/>
      <c r="J28" s="148"/>
    </row>
    <row r="29" spans="1:10" ht="18" customHeight="1" x14ac:dyDescent="0.2">
      <c r="A29" s="140" t="s">
        <v>568</v>
      </c>
      <c r="B29" s="142" t="s">
        <v>67</v>
      </c>
      <c r="C29" s="140" t="s">
        <v>68</v>
      </c>
      <c r="D29" s="140" t="s">
        <v>1</v>
      </c>
      <c r="E29" s="466" t="s">
        <v>110</v>
      </c>
      <c r="F29" s="466"/>
      <c r="G29" s="141" t="s">
        <v>2</v>
      </c>
      <c r="H29" s="142" t="s">
        <v>3</v>
      </c>
      <c r="I29" s="142" t="s">
        <v>69</v>
      </c>
      <c r="J29" s="142" t="s">
        <v>45</v>
      </c>
    </row>
    <row r="30" spans="1:10" ht="24" customHeight="1" x14ac:dyDescent="0.2">
      <c r="A30" s="143" t="s">
        <v>111</v>
      </c>
      <c r="B30" s="145" t="s">
        <v>654</v>
      </c>
      <c r="C30" s="143" t="s">
        <v>71</v>
      </c>
      <c r="D30" s="143" t="s">
        <v>261</v>
      </c>
      <c r="E30" s="468" t="s">
        <v>127</v>
      </c>
      <c r="F30" s="468"/>
      <c r="G30" s="144" t="s">
        <v>8</v>
      </c>
      <c r="H30" s="147">
        <v>1</v>
      </c>
      <c r="I30" s="146"/>
      <c r="J30" s="146">
        <f>SUM(J31:J33)</f>
        <v>112860</v>
      </c>
    </row>
    <row r="31" spans="1:10" ht="26.1" customHeight="1" x14ac:dyDescent="0.2">
      <c r="A31" s="149" t="s">
        <v>113</v>
      </c>
      <c r="B31" s="151" t="s">
        <v>128</v>
      </c>
      <c r="C31" s="149" t="s">
        <v>75</v>
      </c>
      <c r="D31" s="149" t="s">
        <v>129</v>
      </c>
      <c r="E31" s="473" t="s">
        <v>112</v>
      </c>
      <c r="F31" s="473"/>
      <c r="G31" s="150" t="s">
        <v>119</v>
      </c>
      <c r="H31" s="153">
        <f>20*'MC '!$F$3</f>
        <v>440</v>
      </c>
      <c r="I31" s="152">
        <v>113.34</v>
      </c>
      <c r="J31" s="152">
        <f>TRUNC(H31*I31,2)</f>
        <v>49869.599999999999</v>
      </c>
    </row>
    <row r="32" spans="1:10" ht="24" customHeight="1" x14ac:dyDescent="0.2">
      <c r="A32" s="149" t="s">
        <v>113</v>
      </c>
      <c r="B32" s="151" t="s">
        <v>130</v>
      </c>
      <c r="C32" s="149" t="s">
        <v>75</v>
      </c>
      <c r="D32" s="149" t="s">
        <v>131</v>
      </c>
      <c r="E32" s="473" t="s">
        <v>112</v>
      </c>
      <c r="F32" s="473"/>
      <c r="G32" s="150" t="s">
        <v>119</v>
      </c>
      <c r="H32" s="153">
        <f>40*'MC '!$F$3</f>
        <v>880</v>
      </c>
      <c r="I32" s="152">
        <v>50.25</v>
      </c>
      <c r="J32" s="152">
        <f t="shared" ref="J32:J33" si="0">TRUNC(H32*I32,2)</f>
        <v>44220</v>
      </c>
    </row>
    <row r="33" spans="1:13" ht="26.1" customHeight="1" x14ac:dyDescent="0.2">
      <c r="A33" s="149" t="s">
        <v>113</v>
      </c>
      <c r="B33" s="151" t="s">
        <v>132</v>
      </c>
      <c r="C33" s="149" t="s">
        <v>75</v>
      </c>
      <c r="D33" s="149" t="s">
        <v>133</v>
      </c>
      <c r="E33" s="473" t="s">
        <v>112</v>
      </c>
      <c r="F33" s="473"/>
      <c r="G33" s="150" t="s">
        <v>119</v>
      </c>
      <c r="H33" s="153">
        <f>40*'MC '!$F$3</f>
        <v>880</v>
      </c>
      <c r="I33" s="152">
        <v>21.33</v>
      </c>
      <c r="J33" s="152">
        <f t="shared" si="0"/>
        <v>18770.400000000001</v>
      </c>
    </row>
    <row r="34" spans="1:13" x14ac:dyDescent="0.2">
      <c r="A34" s="161"/>
      <c r="B34" s="161"/>
      <c r="C34" s="161"/>
      <c r="D34" s="161"/>
      <c r="E34" s="161"/>
      <c r="F34" s="162"/>
      <c r="G34" s="161"/>
      <c r="H34" s="162"/>
      <c r="I34" s="161"/>
      <c r="J34" s="162"/>
    </row>
    <row r="35" spans="1:13" ht="15" thickBot="1" x14ac:dyDescent="0.25">
      <c r="A35" s="161"/>
      <c r="B35" s="161"/>
      <c r="C35" s="161"/>
      <c r="D35" s="161"/>
      <c r="E35" s="161" t="s">
        <v>116</v>
      </c>
      <c r="F35" s="162">
        <f>TRUNC(J30*$H$1,2)</f>
        <v>26397.95</v>
      </c>
      <c r="G35" s="161"/>
      <c r="H35" s="467" t="s">
        <v>117</v>
      </c>
      <c r="I35" s="467"/>
      <c r="J35" s="162">
        <f>F35+J30</f>
        <v>139257.95000000001</v>
      </c>
      <c r="L35" s="337"/>
    </row>
    <row r="36" spans="1:13" ht="0.95" customHeight="1" thickTop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3" ht="18" customHeight="1" x14ac:dyDescent="0.2">
      <c r="A37" s="140" t="s">
        <v>569</v>
      </c>
      <c r="B37" s="142" t="s">
        <v>67</v>
      </c>
      <c r="C37" s="140" t="s">
        <v>68</v>
      </c>
      <c r="D37" s="140" t="s">
        <v>1</v>
      </c>
      <c r="E37" s="466" t="s">
        <v>110</v>
      </c>
      <c r="F37" s="466"/>
      <c r="G37" s="141" t="s">
        <v>2</v>
      </c>
      <c r="H37" s="142" t="s">
        <v>3</v>
      </c>
      <c r="I37" s="142" t="s">
        <v>69</v>
      </c>
      <c r="J37" s="142" t="s">
        <v>45</v>
      </c>
    </row>
    <row r="38" spans="1:13" ht="26.1" customHeight="1" x14ac:dyDescent="0.2">
      <c r="A38" s="143" t="s">
        <v>111</v>
      </c>
      <c r="B38" s="145" t="s">
        <v>655</v>
      </c>
      <c r="C38" s="143" t="s">
        <v>71</v>
      </c>
      <c r="D38" s="143" t="s">
        <v>9</v>
      </c>
      <c r="E38" s="468" t="s">
        <v>127</v>
      </c>
      <c r="F38" s="468"/>
      <c r="G38" s="144" t="s">
        <v>10</v>
      </c>
      <c r="H38" s="147">
        <v>1</v>
      </c>
      <c r="I38" s="146">
        <v>4850</v>
      </c>
      <c r="J38" s="146">
        <v>4850</v>
      </c>
    </row>
    <row r="39" spans="1:13" ht="51.95" customHeight="1" x14ac:dyDescent="0.2">
      <c r="A39" s="154" t="s">
        <v>120</v>
      </c>
      <c r="B39" s="156" t="s">
        <v>135</v>
      </c>
      <c r="C39" s="154" t="s">
        <v>75</v>
      </c>
      <c r="D39" s="154" t="s">
        <v>136</v>
      </c>
      <c r="E39" s="469" t="s">
        <v>134</v>
      </c>
      <c r="F39" s="469"/>
      <c r="G39" s="155" t="s">
        <v>137</v>
      </c>
      <c r="H39" s="158">
        <v>1</v>
      </c>
      <c r="I39" s="157">
        <v>1600</v>
      </c>
      <c r="J39" s="157">
        <v>1600</v>
      </c>
      <c r="M39" s="347"/>
    </row>
    <row r="40" spans="1:13" ht="39" customHeight="1" x14ac:dyDescent="0.2">
      <c r="A40" s="154" t="s">
        <v>120</v>
      </c>
      <c r="B40" s="156" t="s">
        <v>138</v>
      </c>
      <c r="C40" s="154" t="s">
        <v>75</v>
      </c>
      <c r="D40" s="154" t="s">
        <v>139</v>
      </c>
      <c r="E40" s="469" t="s">
        <v>134</v>
      </c>
      <c r="F40" s="469"/>
      <c r="G40" s="155" t="s">
        <v>137</v>
      </c>
      <c r="H40" s="158">
        <v>1</v>
      </c>
      <c r="I40" s="157">
        <v>1250</v>
      </c>
      <c r="J40" s="157">
        <v>1250</v>
      </c>
    </row>
    <row r="41" spans="1:13" ht="39" customHeight="1" x14ac:dyDescent="0.2">
      <c r="A41" s="154" t="s">
        <v>120</v>
      </c>
      <c r="B41" s="156" t="s">
        <v>140</v>
      </c>
      <c r="C41" s="154" t="s">
        <v>75</v>
      </c>
      <c r="D41" s="154" t="s">
        <v>141</v>
      </c>
      <c r="E41" s="469" t="s">
        <v>134</v>
      </c>
      <c r="F41" s="469"/>
      <c r="G41" s="155" t="s">
        <v>137</v>
      </c>
      <c r="H41" s="158">
        <v>1</v>
      </c>
      <c r="I41" s="157">
        <v>2000</v>
      </c>
      <c r="J41" s="157">
        <v>2000</v>
      </c>
    </row>
    <row r="42" spans="1:13" x14ac:dyDescent="0.2">
      <c r="A42" s="161"/>
      <c r="B42" s="161"/>
      <c r="C42" s="161"/>
      <c r="D42" s="161"/>
      <c r="E42" s="161"/>
      <c r="F42" s="162"/>
      <c r="G42" s="161"/>
      <c r="H42" s="162"/>
      <c r="I42" s="161"/>
      <c r="J42" s="162"/>
    </row>
    <row r="43" spans="1:13" ht="15" thickBot="1" x14ac:dyDescent="0.25">
      <c r="A43" s="161"/>
      <c r="B43" s="161"/>
      <c r="C43" s="161"/>
      <c r="D43" s="161"/>
      <c r="E43" s="161" t="s">
        <v>116</v>
      </c>
      <c r="F43" s="162">
        <v>1134.4100000000001</v>
      </c>
      <c r="G43" s="161"/>
      <c r="H43" s="467" t="s">
        <v>117</v>
      </c>
      <c r="I43" s="467"/>
      <c r="J43" s="162">
        <v>5984.41</v>
      </c>
    </row>
    <row r="44" spans="1:13" ht="0.95" customHeight="1" thickTop="1" x14ac:dyDescent="0.2">
      <c r="A44" s="148"/>
      <c r="B44" s="148"/>
      <c r="C44" s="148"/>
      <c r="D44" s="148"/>
      <c r="E44" s="148"/>
      <c r="F44" s="148"/>
      <c r="G44" s="148"/>
      <c r="H44" s="148"/>
      <c r="I44" s="148"/>
      <c r="J44" s="148"/>
    </row>
    <row r="45" spans="1:13" ht="18" customHeight="1" x14ac:dyDescent="0.2">
      <c r="A45" s="140" t="s">
        <v>641</v>
      </c>
      <c r="B45" s="142" t="s">
        <v>67</v>
      </c>
      <c r="C45" s="140" t="s">
        <v>68</v>
      </c>
      <c r="D45" s="140" t="s">
        <v>1</v>
      </c>
      <c r="E45" s="466" t="s">
        <v>110</v>
      </c>
      <c r="F45" s="466"/>
      <c r="G45" s="141" t="s">
        <v>2</v>
      </c>
      <c r="H45" s="142" t="s">
        <v>3</v>
      </c>
      <c r="I45" s="142" t="s">
        <v>69</v>
      </c>
      <c r="J45" s="142" t="s">
        <v>45</v>
      </c>
    </row>
    <row r="46" spans="1:13" s="296" customFormat="1" ht="26.1" customHeight="1" x14ac:dyDescent="0.25">
      <c r="A46" s="394" t="s">
        <v>111</v>
      </c>
      <c r="B46" s="395" t="s">
        <v>74</v>
      </c>
      <c r="C46" s="394" t="s">
        <v>75</v>
      </c>
      <c r="D46" s="394" t="s">
        <v>12</v>
      </c>
      <c r="E46" s="458" t="s">
        <v>144</v>
      </c>
      <c r="F46" s="458"/>
      <c r="G46" s="396" t="s">
        <v>7</v>
      </c>
      <c r="H46" s="397">
        <v>1</v>
      </c>
      <c r="I46" s="398">
        <v>0.42</v>
      </c>
      <c r="J46" s="398">
        <v>0.42</v>
      </c>
    </row>
    <row r="47" spans="1:13" s="296" customFormat="1" ht="39" customHeight="1" x14ac:dyDescent="0.25">
      <c r="A47" s="399" t="s">
        <v>113</v>
      </c>
      <c r="B47" s="400" t="s">
        <v>147</v>
      </c>
      <c r="C47" s="399" t="s">
        <v>75</v>
      </c>
      <c r="D47" s="399" t="s">
        <v>148</v>
      </c>
      <c r="E47" s="463" t="s">
        <v>149</v>
      </c>
      <c r="F47" s="463"/>
      <c r="G47" s="401" t="s">
        <v>150</v>
      </c>
      <c r="H47" s="402">
        <v>1E-3</v>
      </c>
      <c r="I47" s="403">
        <v>82.78</v>
      </c>
      <c r="J47" s="403">
        <v>0.08</v>
      </c>
    </row>
    <row r="48" spans="1:13" s="296" customFormat="1" ht="24" customHeight="1" x14ac:dyDescent="0.25">
      <c r="A48" s="399" t="s">
        <v>113</v>
      </c>
      <c r="B48" s="400" t="s">
        <v>142</v>
      </c>
      <c r="C48" s="399" t="s">
        <v>75</v>
      </c>
      <c r="D48" s="399" t="s">
        <v>143</v>
      </c>
      <c r="E48" s="463" t="s">
        <v>112</v>
      </c>
      <c r="F48" s="463"/>
      <c r="G48" s="401" t="s">
        <v>119</v>
      </c>
      <c r="H48" s="402">
        <v>2.5000000000000001E-3</v>
      </c>
      <c r="I48" s="403">
        <v>19.38</v>
      </c>
      <c r="J48" s="403">
        <v>0.04</v>
      </c>
    </row>
    <row r="49" spans="1:10" s="296" customFormat="1" ht="24" customHeight="1" x14ac:dyDescent="0.25">
      <c r="A49" s="399" t="s">
        <v>113</v>
      </c>
      <c r="B49" s="400" t="s">
        <v>145</v>
      </c>
      <c r="C49" s="399" t="s">
        <v>75</v>
      </c>
      <c r="D49" s="399" t="s">
        <v>146</v>
      </c>
      <c r="E49" s="463" t="s">
        <v>112</v>
      </c>
      <c r="F49" s="463"/>
      <c r="G49" s="401" t="s">
        <v>119</v>
      </c>
      <c r="H49" s="402">
        <v>2E-3</v>
      </c>
      <c r="I49" s="403">
        <v>38.549999999999997</v>
      </c>
      <c r="J49" s="403">
        <v>7.0000000000000007E-2</v>
      </c>
    </row>
    <row r="50" spans="1:10" s="296" customFormat="1" ht="24" customHeight="1" x14ac:dyDescent="0.25">
      <c r="A50" s="399" t="s">
        <v>113</v>
      </c>
      <c r="B50" s="400" t="s">
        <v>151</v>
      </c>
      <c r="C50" s="399" t="s">
        <v>75</v>
      </c>
      <c r="D50" s="399" t="s">
        <v>152</v>
      </c>
      <c r="E50" s="463" t="s">
        <v>112</v>
      </c>
      <c r="F50" s="463"/>
      <c r="G50" s="401" t="s">
        <v>119</v>
      </c>
      <c r="H50" s="402">
        <v>2.5000000000000001E-3</v>
      </c>
      <c r="I50" s="403">
        <v>24.18</v>
      </c>
      <c r="J50" s="403">
        <v>0.06</v>
      </c>
    </row>
    <row r="51" spans="1:10" s="296" customFormat="1" ht="24" customHeight="1" x14ac:dyDescent="0.25">
      <c r="A51" s="404" t="s">
        <v>120</v>
      </c>
      <c r="B51" s="405" t="s">
        <v>123</v>
      </c>
      <c r="C51" s="404" t="s">
        <v>77</v>
      </c>
      <c r="D51" s="404" t="s">
        <v>124</v>
      </c>
      <c r="E51" s="460" t="s">
        <v>125</v>
      </c>
      <c r="F51" s="460"/>
      <c r="G51" s="406" t="s">
        <v>126</v>
      </c>
      <c r="H51" s="407">
        <v>7.4999999999999997E-3</v>
      </c>
      <c r="I51" s="408">
        <v>21.6083</v>
      </c>
      <c r="J51" s="408">
        <v>0.16</v>
      </c>
    </row>
    <row r="52" spans="1:10" s="296" customFormat="1" ht="26.1" customHeight="1" x14ac:dyDescent="0.25">
      <c r="A52" s="404" t="s">
        <v>120</v>
      </c>
      <c r="B52" s="405" t="s">
        <v>153</v>
      </c>
      <c r="C52" s="404" t="s">
        <v>75</v>
      </c>
      <c r="D52" s="404" t="s">
        <v>154</v>
      </c>
      <c r="E52" s="460" t="s">
        <v>54</v>
      </c>
      <c r="F52" s="460"/>
      <c r="G52" s="406" t="s">
        <v>18</v>
      </c>
      <c r="H52" s="407">
        <v>2.8860000000000001E-3</v>
      </c>
      <c r="I52" s="408">
        <v>4.74</v>
      </c>
      <c r="J52" s="408">
        <v>0.01</v>
      </c>
    </row>
    <row r="53" spans="1:10" s="296" customFormat="1" ht="15" x14ac:dyDescent="0.25">
      <c r="A53" s="409"/>
      <c r="B53" s="409"/>
      <c r="C53" s="409"/>
      <c r="D53" s="409"/>
      <c r="E53" s="409"/>
      <c r="F53" s="410"/>
      <c r="G53" s="409"/>
      <c r="H53" s="410"/>
      <c r="I53" s="409"/>
      <c r="J53" s="410"/>
    </row>
    <row r="54" spans="1:10" s="296" customFormat="1" ht="15.75" thickBot="1" x14ac:dyDescent="0.3">
      <c r="A54" s="409"/>
      <c r="B54" s="409"/>
      <c r="C54" s="409"/>
      <c r="D54" s="409"/>
      <c r="E54" s="409" t="s">
        <v>116</v>
      </c>
      <c r="F54" s="410">
        <v>0.09</v>
      </c>
      <c r="G54" s="409"/>
      <c r="H54" s="455" t="s">
        <v>117</v>
      </c>
      <c r="I54" s="455"/>
      <c r="J54" s="410">
        <v>0.51</v>
      </c>
    </row>
    <row r="55" spans="1:10" s="296" customFormat="1" ht="0.95" customHeight="1" thickTop="1" x14ac:dyDescent="0.25">
      <c r="A55" s="411"/>
      <c r="B55" s="411"/>
      <c r="C55" s="411"/>
      <c r="D55" s="411"/>
      <c r="E55" s="411"/>
      <c r="F55" s="411"/>
      <c r="G55" s="411"/>
      <c r="H55" s="411"/>
      <c r="I55" s="411"/>
      <c r="J55" s="411"/>
    </row>
    <row r="56" spans="1:10" s="296" customFormat="1" ht="18" customHeight="1" x14ac:dyDescent="0.25">
      <c r="A56" s="412" t="s">
        <v>656</v>
      </c>
      <c r="B56" s="413" t="s">
        <v>67</v>
      </c>
      <c r="C56" s="412" t="s">
        <v>68</v>
      </c>
      <c r="D56" s="412" t="s">
        <v>1</v>
      </c>
      <c r="E56" s="457" t="s">
        <v>110</v>
      </c>
      <c r="F56" s="457"/>
      <c r="G56" s="414" t="s">
        <v>2</v>
      </c>
      <c r="H56" s="413" t="s">
        <v>3</v>
      </c>
      <c r="I56" s="413" t="s">
        <v>69</v>
      </c>
      <c r="J56" s="413" t="s">
        <v>45</v>
      </c>
    </row>
    <row r="57" spans="1:10" s="296" customFormat="1" ht="24" customHeight="1" x14ac:dyDescent="0.25">
      <c r="A57" s="394" t="s">
        <v>111</v>
      </c>
      <c r="B57" s="395" t="s">
        <v>78</v>
      </c>
      <c r="C57" s="394" t="s">
        <v>77</v>
      </c>
      <c r="D57" s="394" t="s">
        <v>16</v>
      </c>
      <c r="E57" s="458" t="s">
        <v>94</v>
      </c>
      <c r="F57" s="458"/>
      <c r="G57" s="396" t="s">
        <v>7</v>
      </c>
      <c r="H57" s="397">
        <v>1</v>
      </c>
      <c r="I57" s="398">
        <v>1.08</v>
      </c>
      <c r="J57" s="398">
        <v>1.08</v>
      </c>
    </row>
    <row r="58" spans="1:10" s="296" customFormat="1" ht="15" customHeight="1" x14ac:dyDescent="0.25">
      <c r="A58" s="457" t="s">
        <v>155</v>
      </c>
      <c r="B58" s="456" t="s">
        <v>67</v>
      </c>
      <c r="C58" s="457" t="s">
        <v>68</v>
      </c>
      <c r="D58" s="457" t="s">
        <v>156</v>
      </c>
      <c r="E58" s="456" t="s">
        <v>157</v>
      </c>
      <c r="F58" s="459" t="s">
        <v>158</v>
      </c>
      <c r="G58" s="456"/>
      <c r="H58" s="459" t="s">
        <v>159</v>
      </c>
      <c r="I58" s="456"/>
      <c r="J58" s="456" t="s">
        <v>160</v>
      </c>
    </row>
    <row r="59" spans="1:10" s="296" customFormat="1" ht="15" customHeight="1" x14ac:dyDescent="0.25">
      <c r="A59" s="456"/>
      <c r="B59" s="456"/>
      <c r="C59" s="456"/>
      <c r="D59" s="456"/>
      <c r="E59" s="456"/>
      <c r="F59" s="413" t="s">
        <v>161</v>
      </c>
      <c r="G59" s="413" t="s">
        <v>162</v>
      </c>
      <c r="H59" s="413" t="s">
        <v>161</v>
      </c>
      <c r="I59" s="413" t="s">
        <v>162</v>
      </c>
      <c r="J59" s="456"/>
    </row>
    <row r="60" spans="1:10" s="296" customFormat="1" ht="26.1" customHeight="1" x14ac:dyDescent="0.25">
      <c r="A60" s="404" t="s">
        <v>120</v>
      </c>
      <c r="B60" s="405" t="s">
        <v>177</v>
      </c>
      <c r="C60" s="404" t="s">
        <v>77</v>
      </c>
      <c r="D60" s="404" t="s">
        <v>178</v>
      </c>
      <c r="E60" s="407">
        <v>2</v>
      </c>
      <c r="F60" s="408">
        <v>0.51</v>
      </c>
      <c r="G60" s="408">
        <v>0.49</v>
      </c>
      <c r="H60" s="415">
        <v>298.26069999999999</v>
      </c>
      <c r="I60" s="415">
        <v>89.097099999999998</v>
      </c>
      <c r="J60" s="415">
        <v>391.54109999999997</v>
      </c>
    </row>
    <row r="61" spans="1:10" s="296" customFormat="1" ht="24" customHeight="1" x14ac:dyDescent="0.25">
      <c r="A61" s="404" t="s">
        <v>120</v>
      </c>
      <c r="B61" s="405" t="s">
        <v>179</v>
      </c>
      <c r="C61" s="404" t="s">
        <v>77</v>
      </c>
      <c r="D61" s="404" t="s">
        <v>180</v>
      </c>
      <c r="E61" s="407">
        <v>1</v>
      </c>
      <c r="F61" s="408">
        <v>0.69</v>
      </c>
      <c r="G61" s="408">
        <v>0.31</v>
      </c>
      <c r="H61" s="415">
        <v>4.8484999999999996</v>
      </c>
      <c r="I61" s="415">
        <v>3.3763999999999998</v>
      </c>
      <c r="J61" s="415">
        <v>4.3921000000000001</v>
      </c>
    </row>
    <row r="62" spans="1:10" s="296" customFormat="1" ht="24" customHeight="1" x14ac:dyDescent="0.25">
      <c r="A62" s="404" t="s">
        <v>120</v>
      </c>
      <c r="B62" s="405" t="s">
        <v>181</v>
      </c>
      <c r="C62" s="404" t="s">
        <v>77</v>
      </c>
      <c r="D62" s="404" t="s">
        <v>38</v>
      </c>
      <c r="E62" s="407">
        <v>1</v>
      </c>
      <c r="F62" s="408">
        <v>0.71</v>
      </c>
      <c r="G62" s="408">
        <v>0.28999999999999998</v>
      </c>
      <c r="H62" s="415">
        <v>279.14210000000003</v>
      </c>
      <c r="I62" s="415">
        <v>130.55009999999999</v>
      </c>
      <c r="J62" s="415">
        <v>236.0504</v>
      </c>
    </row>
    <row r="63" spans="1:10" s="296" customFormat="1" ht="26.1" customHeight="1" x14ac:dyDescent="0.25">
      <c r="A63" s="404" t="s">
        <v>120</v>
      </c>
      <c r="B63" s="405" t="s">
        <v>182</v>
      </c>
      <c r="C63" s="404" t="s">
        <v>77</v>
      </c>
      <c r="D63" s="404" t="s">
        <v>39</v>
      </c>
      <c r="E63" s="407">
        <v>1</v>
      </c>
      <c r="F63" s="408">
        <v>0.96</v>
      </c>
      <c r="G63" s="408">
        <v>0.04</v>
      </c>
      <c r="H63" s="415">
        <v>241.52109999999999</v>
      </c>
      <c r="I63" s="415">
        <v>125.0121</v>
      </c>
      <c r="J63" s="415">
        <v>236.86070000000001</v>
      </c>
    </row>
    <row r="64" spans="1:10" s="296" customFormat="1" ht="26.1" customHeight="1" x14ac:dyDescent="0.25">
      <c r="A64" s="404" t="s">
        <v>120</v>
      </c>
      <c r="B64" s="405" t="s">
        <v>183</v>
      </c>
      <c r="C64" s="404" t="s">
        <v>77</v>
      </c>
      <c r="D64" s="404" t="s">
        <v>40</v>
      </c>
      <c r="E64" s="407">
        <v>1</v>
      </c>
      <c r="F64" s="408">
        <v>1</v>
      </c>
      <c r="G64" s="408">
        <v>0</v>
      </c>
      <c r="H64" s="415">
        <v>199.6669</v>
      </c>
      <c r="I64" s="415">
        <v>96.510900000000007</v>
      </c>
      <c r="J64" s="415">
        <v>199.6669</v>
      </c>
    </row>
    <row r="65" spans="1:10" s="296" customFormat="1" ht="24" customHeight="1" x14ac:dyDescent="0.25">
      <c r="A65" s="404" t="s">
        <v>120</v>
      </c>
      <c r="B65" s="405" t="s">
        <v>184</v>
      </c>
      <c r="C65" s="404" t="s">
        <v>77</v>
      </c>
      <c r="D65" s="404" t="s">
        <v>43</v>
      </c>
      <c r="E65" s="407">
        <v>1</v>
      </c>
      <c r="F65" s="408">
        <v>0.69</v>
      </c>
      <c r="G65" s="408">
        <v>0.31</v>
      </c>
      <c r="H65" s="415">
        <v>126.06010000000001</v>
      </c>
      <c r="I65" s="415">
        <v>50.948399999999999</v>
      </c>
      <c r="J65" s="415">
        <v>102.77549999999999</v>
      </c>
    </row>
    <row r="66" spans="1:10" s="296" customFormat="1" ht="20.100000000000001" customHeight="1" x14ac:dyDescent="0.25">
      <c r="A66" s="454"/>
      <c r="B66" s="454"/>
      <c r="C66" s="454"/>
      <c r="D66" s="454"/>
      <c r="E66" s="454"/>
      <c r="F66" s="454" t="s">
        <v>163</v>
      </c>
      <c r="G66" s="454"/>
      <c r="H66" s="454"/>
      <c r="I66" s="454"/>
      <c r="J66" s="416">
        <v>1171.2867000000001</v>
      </c>
    </row>
    <row r="67" spans="1:10" s="296" customFormat="1" ht="20.100000000000001" customHeight="1" x14ac:dyDescent="0.25">
      <c r="A67" s="412" t="s">
        <v>164</v>
      </c>
      <c r="B67" s="413" t="s">
        <v>67</v>
      </c>
      <c r="C67" s="412" t="s">
        <v>68</v>
      </c>
      <c r="D67" s="412" t="s">
        <v>125</v>
      </c>
      <c r="E67" s="413" t="s">
        <v>157</v>
      </c>
      <c r="F67" s="456" t="s">
        <v>165</v>
      </c>
      <c r="G67" s="456"/>
      <c r="H67" s="456"/>
      <c r="I67" s="456"/>
      <c r="J67" s="413" t="s">
        <v>160</v>
      </c>
    </row>
    <row r="68" spans="1:10" s="296" customFormat="1" ht="24" customHeight="1" x14ac:dyDescent="0.25">
      <c r="A68" s="404" t="s">
        <v>120</v>
      </c>
      <c r="B68" s="405" t="s">
        <v>166</v>
      </c>
      <c r="C68" s="404" t="s">
        <v>77</v>
      </c>
      <c r="D68" s="404" t="s">
        <v>124</v>
      </c>
      <c r="E68" s="407">
        <v>1</v>
      </c>
      <c r="F68" s="404"/>
      <c r="G68" s="404"/>
      <c r="H68" s="404"/>
      <c r="I68" s="415">
        <v>21.6083</v>
      </c>
      <c r="J68" s="415">
        <v>21.6083</v>
      </c>
    </row>
    <row r="69" spans="1:10" s="296" customFormat="1" ht="20.100000000000001" customHeight="1" x14ac:dyDescent="0.25">
      <c r="A69" s="454"/>
      <c r="B69" s="454"/>
      <c r="C69" s="454"/>
      <c r="D69" s="454"/>
      <c r="E69" s="454"/>
      <c r="F69" s="454" t="s">
        <v>167</v>
      </c>
      <c r="G69" s="454"/>
      <c r="H69" s="454"/>
      <c r="I69" s="454"/>
      <c r="J69" s="416">
        <v>21.6083</v>
      </c>
    </row>
    <row r="70" spans="1:10" s="296" customFormat="1" ht="20.100000000000001" customHeight="1" x14ac:dyDescent="0.25">
      <c r="A70" s="454"/>
      <c r="B70" s="454"/>
      <c r="C70" s="454"/>
      <c r="D70" s="454"/>
      <c r="E70" s="454"/>
      <c r="F70" s="454" t="s">
        <v>168</v>
      </c>
      <c r="G70" s="454"/>
      <c r="H70" s="454"/>
      <c r="I70" s="454"/>
      <c r="J70" s="416">
        <v>0</v>
      </c>
    </row>
    <row r="71" spans="1:10" s="296" customFormat="1" ht="20.100000000000001" customHeight="1" x14ac:dyDescent="0.25">
      <c r="A71" s="454"/>
      <c r="B71" s="454"/>
      <c r="C71" s="454"/>
      <c r="D71" s="454"/>
      <c r="E71" s="454"/>
      <c r="F71" s="454" t="s">
        <v>169</v>
      </c>
      <c r="G71" s="454"/>
      <c r="H71" s="454"/>
      <c r="I71" s="454"/>
      <c r="J71" s="416">
        <v>1192.895</v>
      </c>
    </row>
    <row r="72" spans="1:10" s="296" customFormat="1" ht="20.100000000000001" customHeight="1" x14ac:dyDescent="0.25">
      <c r="A72" s="454"/>
      <c r="B72" s="454"/>
      <c r="C72" s="454"/>
      <c r="D72" s="454"/>
      <c r="E72" s="454"/>
      <c r="F72" s="454" t="s">
        <v>170</v>
      </c>
      <c r="G72" s="454"/>
      <c r="H72" s="454"/>
      <c r="I72" s="454"/>
      <c r="J72" s="416">
        <v>1.43E-2</v>
      </c>
    </row>
    <row r="73" spans="1:10" s="296" customFormat="1" ht="20.100000000000001" customHeight="1" x14ac:dyDescent="0.25">
      <c r="A73" s="454"/>
      <c r="B73" s="454"/>
      <c r="C73" s="454"/>
      <c r="D73" s="454"/>
      <c r="E73" s="454"/>
      <c r="F73" s="454" t="s">
        <v>171</v>
      </c>
      <c r="G73" s="454"/>
      <c r="H73" s="454"/>
      <c r="I73" s="454"/>
      <c r="J73" s="416">
        <v>1.52E-2</v>
      </c>
    </row>
    <row r="74" spans="1:10" s="296" customFormat="1" ht="20.100000000000001" customHeight="1" x14ac:dyDescent="0.25">
      <c r="A74" s="454"/>
      <c r="B74" s="454"/>
      <c r="C74" s="454"/>
      <c r="D74" s="454"/>
      <c r="E74" s="454"/>
      <c r="F74" s="454" t="s">
        <v>172</v>
      </c>
      <c r="G74" s="454"/>
      <c r="H74" s="454"/>
      <c r="I74" s="454"/>
      <c r="J74" s="416">
        <v>1121.33</v>
      </c>
    </row>
    <row r="75" spans="1:10" s="296" customFormat="1" ht="20.100000000000001" customHeight="1" x14ac:dyDescent="0.25">
      <c r="A75" s="454"/>
      <c r="B75" s="454"/>
      <c r="C75" s="454"/>
      <c r="D75" s="454"/>
      <c r="E75" s="454"/>
      <c r="F75" s="454" t="s">
        <v>173</v>
      </c>
      <c r="G75" s="454"/>
      <c r="H75" s="454"/>
      <c r="I75" s="454"/>
      <c r="J75" s="416">
        <v>1.0638000000000001</v>
      </c>
    </row>
    <row r="76" spans="1:10" s="296" customFormat="1" ht="15" x14ac:dyDescent="0.25">
      <c r="A76" s="409"/>
      <c r="B76" s="409"/>
      <c r="C76" s="409"/>
      <c r="D76" s="409"/>
      <c r="E76" s="409"/>
      <c r="F76" s="410"/>
      <c r="G76" s="409"/>
      <c r="H76" s="410"/>
      <c r="I76" s="409"/>
      <c r="J76" s="410"/>
    </row>
    <row r="77" spans="1:10" s="296" customFormat="1" ht="15.75" thickBot="1" x14ac:dyDescent="0.3">
      <c r="A77" s="409"/>
      <c r="B77" s="409"/>
      <c r="C77" s="409"/>
      <c r="D77" s="409"/>
      <c r="E77" s="409" t="s">
        <v>116</v>
      </c>
      <c r="F77" s="410">
        <v>0.25</v>
      </c>
      <c r="G77" s="409"/>
      <c r="H77" s="455" t="s">
        <v>117</v>
      </c>
      <c r="I77" s="455"/>
      <c r="J77" s="410">
        <v>1.33</v>
      </c>
    </row>
    <row r="78" spans="1:10" s="296" customFormat="1" ht="0.95" customHeight="1" thickTop="1" x14ac:dyDescent="0.25">
      <c r="A78" s="411"/>
      <c r="B78" s="411"/>
      <c r="C78" s="411"/>
      <c r="D78" s="411"/>
      <c r="E78" s="411"/>
      <c r="F78" s="411"/>
      <c r="G78" s="411"/>
      <c r="H78" s="411"/>
      <c r="I78" s="411"/>
      <c r="J78" s="411"/>
    </row>
    <row r="79" spans="1:10" s="296" customFormat="1" ht="18" customHeight="1" x14ac:dyDescent="0.25">
      <c r="A79" s="412" t="s">
        <v>657</v>
      </c>
      <c r="B79" s="413" t="s">
        <v>67</v>
      </c>
      <c r="C79" s="412" t="s">
        <v>68</v>
      </c>
      <c r="D79" s="412" t="s">
        <v>1</v>
      </c>
      <c r="E79" s="457" t="s">
        <v>110</v>
      </c>
      <c r="F79" s="457"/>
      <c r="G79" s="414" t="s">
        <v>2</v>
      </c>
      <c r="H79" s="413" t="s">
        <v>3</v>
      </c>
      <c r="I79" s="413" t="s">
        <v>69</v>
      </c>
      <c r="J79" s="413" t="s">
        <v>45</v>
      </c>
    </row>
    <row r="80" spans="1:10" s="296" customFormat="1" ht="39" customHeight="1" x14ac:dyDescent="0.25">
      <c r="A80" s="394" t="s">
        <v>111</v>
      </c>
      <c r="B80" s="395" t="s">
        <v>526</v>
      </c>
      <c r="C80" s="394" t="s">
        <v>77</v>
      </c>
      <c r="D80" s="394" t="s">
        <v>491</v>
      </c>
      <c r="E80" s="458" t="s">
        <v>94</v>
      </c>
      <c r="F80" s="458"/>
      <c r="G80" s="396" t="s">
        <v>22</v>
      </c>
      <c r="H80" s="397">
        <v>1</v>
      </c>
      <c r="I80" s="398">
        <v>2.4700000000000002</v>
      </c>
      <c r="J80" s="398">
        <v>2.4700000000000002</v>
      </c>
    </row>
    <row r="81" spans="1:10" s="296" customFormat="1" ht="15" customHeight="1" x14ac:dyDescent="0.25">
      <c r="A81" s="457" t="s">
        <v>155</v>
      </c>
      <c r="B81" s="456" t="s">
        <v>67</v>
      </c>
      <c r="C81" s="457" t="s">
        <v>68</v>
      </c>
      <c r="D81" s="457" t="s">
        <v>156</v>
      </c>
      <c r="E81" s="456" t="s">
        <v>157</v>
      </c>
      <c r="F81" s="459" t="s">
        <v>158</v>
      </c>
      <c r="G81" s="456"/>
      <c r="H81" s="459" t="s">
        <v>159</v>
      </c>
      <c r="I81" s="456"/>
      <c r="J81" s="456" t="s">
        <v>160</v>
      </c>
    </row>
    <row r="82" spans="1:10" s="296" customFormat="1" ht="15" customHeight="1" x14ac:dyDescent="0.25">
      <c r="A82" s="456"/>
      <c r="B82" s="456"/>
      <c r="C82" s="456"/>
      <c r="D82" s="456"/>
      <c r="E82" s="456"/>
      <c r="F82" s="413" t="s">
        <v>161</v>
      </c>
      <c r="G82" s="413" t="s">
        <v>162</v>
      </c>
      <c r="H82" s="413" t="s">
        <v>161</v>
      </c>
      <c r="I82" s="413" t="s">
        <v>162</v>
      </c>
      <c r="J82" s="456"/>
    </row>
    <row r="83" spans="1:10" s="296" customFormat="1" ht="26.1" customHeight="1" x14ac:dyDescent="0.25">
      <c r="A83" s="404" t="s">
        <v>120</v>
      </c>
      <c r="B83" s="405" t="s">
        <v>174</v>
      </c>
      <c r="C83" s="404" t="s">
        <v>77</v>
      </c>
      <c r="D83" s="404" t="s">
        <v>175</v>
      </c>
      <c r="E83" s="407">
        <v>3</v>
      </c>
      <c r="F83" s="408">
        <v>0.77</v>
      </c>
      <c r="G83" s="408">
        <v>0.23</v>
      </c>
      <c r="H83" s="415">
        <v>276.76389999999998</v>
      </c>
      <c r="I83" s="415">
        <v>101.5802</v>
      </c>
      <c r="J83" s="415">
        <v>709.41489999999999</v>
      </c>
    </row>
    <row r="84" spans="1:10" s="296" customFormat="1" ht="26.1" customHeight="1" x14ac:dyDescent="0.25">
      <c r="A84" s="404" t="s">
        <v>120</v>
      </c>
      <c r="B84" s="405" t="s">
        <v>311</v>
      </c>
      <c r="C84" s="404" t="s">
        <v>77</v>
      </c>
      <c r="D84" s="404" t="s">
        <v>312</v>
      </c>
      <c r="E84" s="407">
        <v>1</v>
      </c>
      <c r="F84" s="408">
        <v>1</v>
      </c>
      <c r="G84" s="408">
        <v>0</v>
      </c>
      <c r="H84" s="415">
        <v>419.27</v>
      </c>
      <c r="I84" s="415">
        <v>212.9427</v>
      </c>
      <c r="J84" s="415">
        <v>419.27</v>
      </c>
    </row>
    <row r="85" spans="1:10" s="296" customFormat="1" ht="20.100000000000001" customHeight="1" x14ac:dyDescent="0.25">
      <c r="A85" s="454"/>
      <c r="B85" s="454"/>
      <c r="C85" s="454"/>
      <c r="D85" s="454"/>
      <c r="E85" s="454"/>
      <c r="F85" s="454" t="s">
        <v>163</v>
      </c>
      <c r="G85" s="454"/>
      <c r="H85" s="454"/>
      <c r="I85" s="454"/>
      <c r="J85" s="416">
        <v>1128.6849</v>
      </c>
    </row>
    <row r="86" spans="1:10" s="296" customFormat="1" ht="20.100000000000001" customHeight="1" x14ac:dyDescent="0.25">
      <c r="A86" s="454"/>
      <c r="B86" s="454"/>
      <c r="C86" s="454"/>
      <c r="D86" s="454"/>
      <c r="E86" s="454"/>
      <c r="F86" s="454" t="s">
        <v>169</v>
      </c>
      <c r="G86" s="454"/>
      <c r="H86" s="454"/>
      <c r="I86" s="454"/>
      <c r="J86" s="416">
        <v>1128.6849</v>
      </c>
    </row>
    <row r="87" spans="1:10" s="296" customFormat="1" ht="20.100000000000001" customHeight="1" x14ac:dyDescent="0.25">
      <c r="A87" s="454"/>
      <c r="B87" s="454"/>
      <c r="C87" s="454"/>
      <c r="D87" s="454"/>
      <c r="E87" s="454"/>
      <c r="F87" s="454" t="s">
        <v>170</v>
      </c>
      <c r="G87" s="454"/>
      <c r="H87" s="454"/>
      <c r="I87" s="454"/>
      <c r="J87" s="416">
        <v>0</v>
      </c>
    </row>
    <row r="88" spans="1:10" s="296" customFormat="1" ht="20.100000000000001" customHeight="1" x14ac:dyDescent="0.25">
      <c r="A88" s="454"/>
      <c r="B88" s="454"/>
      <c r="C88" s="454"/>
      <c r="D88" s="454"/>
      <c r="E88" s="454"/>
      <c r="F88" s="454" t="s">
        <v>171</v>
      </c>
      <c r="G88" s="454"/>
      <c r="H88" s="454"/>
      <c r="I88" s="454"/>
      <c r="J88" s="416">
        <v>0</v>
      </c>
    </row>
    <row r="89" spans="1:10" s="296" customFormat="1" ht="20.100000000000001" customHeight="1" x14ac:dyDescent="0.25">
      <c r="A89" s="454"/>
      <c r="B89" s="454"/>
      <c r="C89" s="454"/>
      <c r="D89" s="454"/>
      <c r="E89" s="454"/>
      <c r="F89" s="454" t="s">
        <v>172</v>
      </c>
      <c r="G89" s="454"/>
      <c r="H89" s="454"/>
      <c r="I89" s="454"/>
      <c r="J89" s="416">
        <v>457.16</v>
      </c>
    </row>
    <row r="90" spans="1:10" s="296" customFormat="1" ht="20.100000000000001" customHeight="1" x14ac:dyDescent="0.25">
      <c r="A90" s="454"/>
      <c r="B90" s="454"/>
      <c r="C90" s="454"/>
      <c r="D90" s="454"/>
      <c r="E90" s="454"/>
      <c r="F90" s="454" t="s">
        <v>173</v>
      </c>
      <c r="G90" s="454"/>
      <c r="H90" s="454"/>
      <c r="I90" s="454"/>
      <c r="J90" s="416">
        <v>2.4689000000000001</v>
      </c>
    </row>
    <row r="91" spans="1:10" s="296" customFormat="1" ht="15" x14ac:dyDescent="0.25">
      <c r="A91" s="409"/>
      <c r="B91" s="409"/>
      <c r="C91" s="409"/>
      <c r="D91" s="409"/>
      <c r="E91" s="409"/>
      <c r="F91" s="410"/>
      <c r="G91" s="409"/>
      <c r="H91" s="410"/>
      <c r="I91" s="409"/>
      <c r="J91" s="410"/>
    </row>
    <row r="92" spans="1:10" s="296" customFormat="1" ht="15.75" thickBot="1" x14ac:dyDescent="0.3">
      <c r="A92" s="409"/>
      <c r="B92" s="409"/>
      <c r="C92" s="409"/>
      <c r="D92" s="409"/>
      <c r="E92" s="409" t="s">
        <v>116</v>
      </c>
      <c r="F92" s="410">
        <v>0.56999999999999995</v>
      </c>
      <c r="G92" s="409"/>
      <c r="H92" s="455" t="s">
        <v>117</v>
      </c>
      <c r="I92" s="455"/>
      <c r="J92" s="410">
        <v>3.04</v>
      </c>
    </row>
    <row r="93" spans="1:10" s="296" customFormat="1" ht="0.95" customHeight="1" thickTop="1" x14ac:dyDescent="0.25">
      <c r="A93" s="411"/>
      <c r="B93" s="411"/>
      <c r="C93" s="411"/>
      <c r="D93" s="411"/>
      <c r="E93" s="411"/>
      <c r="F93" s="411"/>
      <c r="G93" s="411"/>
      <c r="H93" s="411"/>
      <c r="I93" s="411"/>
      <c r="J93" s="411"/>
    </row>
    <row r="94" spans="1:10" s="296" customFormat="1" ht="18" customHeight="1" x14ac:dyDescent="0.25">
      <c r="A94" s="412" t="s">
        <v>658</v>
      </c>
      <c r="B94" s="413" t="s">
        <v>67</v>
      </c>
      <c r="C94" s="412" t="s">
        <v>68</v>
      </c>
      <c r="D94" s="412" t="s">
        <v>1</v>
      </c>
      <c r="E94" s="457" t="s">
        <v>110</v>
      </c>
      <c r="F94" s="457"/>
      <c r="G94" s="414" t="s">
        <v>2</v>
      </c>
      <c r="H94" s="413" t="s">
        <v>3</v>
      </c>
      <c r="I94" s="413" t="s">
        <v>69</v>
      </c>
      <c r="J94" s="413" t="s">
        <v>45</v>
      </c>
    </row>
    <row r="95" spans="1:10" s="296" customFormat="1" ht="26.1" customHeight="1" x14ac:dyDescent="0.25">
      <c r="A95" s="394" t="s">
        <v>111</v>
      </c>
      <c r="B95" s="395" t="s">
        <v>527</v>
      </c>
      <c r="C95" s="394" t="s">
        <v>77</v>
      </c>
      <c r="D95" s="394" t="s">
        <v>528</v>
      </c>
      <c r="E95" s="458" t="s">
        <v>94</v>
      </c>
      <c r="F95" s="458"/>
      <c r="G95" s="396" t="s">
        <v>15</v>
      </c>
      <c r="H95" s="397">
        <v>1</v>
      </c>
      <c r="I95" s="398">
        <v>0.64</v>
      </c>
      <c r="J95" s="398">
        <v>0.64</v>
      </c>
    </row>
    <row r="96" spans="1:10" s="296" customFormat="1" ht="15" customHeight="1" x14ac:dyDescent="0.25">
      <c r="A96" s="457" t="s">
        <v>155</v>
      </c>
      <c r="B96" s="456" t="s">
        <v>67</v>
      </c>
      <c r="C96" s="457" t="s">
        <v>68</v>
      </c>
      <c r="D96" s="457" t="s">
        <v>156</v>
      </c>
      <c r="E96" s="456" t="s">
        <v>157</v>
      </c>
      <c r="F96" s="459" t="s">
        <v>158</v>
      </c>
      <c r="G96" s="456"/>
      <c r="H96" s="459" t="s">
        <v>159</v>
      </c>
      <c r="I96" s="456"/>
      <c r="J96" s="456" t="s">
        <v>160</v>
      </c>
    </row>
    <row r="97" spans="1:10" s="296" customFormat="1" ht="15" customHeight="1" x14ac:dyDescent="0.25">
      <c r="A97" s="456"/>
      <c r="B97" s="456"/>
      <c r="C97" s="456"/>
      <c r="D97" s="456"/>
      <c r="E97" s="456"/>
      <c r="F97" s="413" t="s">
        <v>161</v>
      </c>
      <c r="G97" s="413" t="s">
        <v>162</v>
      </c>
      <c r="H97" s="413" t="s">
        <v>161</v>
      </c>
      <c r="I97" s="413" t="s">
        <v>162</v>
      </c>
      <c r="J97" s="456"/>
    </row>
    <row r="98" spans="1:10" s="296" customFormat="1" ht="26.1" customHeight="1" x14ac:dyDescent="0.25">
      <c r="A98" s="404" t="s">
        <v>120</v>
      </c>
      <c r="B98" s="405" t="s">
        <v>174</v>
      </c>
      <c r="C98" s="404" t="s">
        <v>77</v>
      </c>
      <c r="D98" s="404" t="s">
        <v>175</v>
      </c>
      <c r="E98" s="407">
        <v>1</v>
      </c>
      <c r="F98" s="408">
        <v>1</v>
      </c>
      <c r="G98" s="408">
        <v>0</v>
      </c>
      <c r="H98" s="415">
        <v>276.76389999999998</v>
      </c>
      <c r="I98" s="415">
        <v>101.5802</v>
      </c>
      <c r="J98" s="415">
        <v>276.76389999999998</v>
      </c>
    </row>
    <row r="99" spans="1:10" s="296" customFormat="1" ht="20.100000000000001" customHeight="1" x14ac:dyDescent="0.25">
      <c r="A99" s="454"/>
      <c r="B99" s="454"/>
      <c r="C99" s="454"/>
      <c r="D99" s="454"/>
      <c r="E99" s="454"/>
      <c r="F99" s="454" t="s">
        <v>163</v>
      </c>
      <c r="G99" s="454"/>
      <c r="H99" s="454"/>
      <c r="I99" s="454"/>
      <c r="J99" s="416">
        <v>276.76389999999998</v>
      </c>
    </row>
    <row r="100" spans="1:10" s="296" customFormat="1" ht="20.100000000000001" customHeight="1" x14ac:dyDescent="0.25">
      <c r="A100" s="454"/>
      <c r="B100" s="454"/>
      <c r="C100" s="454"/>
      <c r="D100" s="454"/>
      <c r="E100" s="454"/>
      <c r="F100" s="454" t="s">
        <v>169</v>
      </c>
      <c r="G100" s="454"/>
      <c r="H100" s="454"/>
      <c r="I100" s="454"/>
      <c r="J100" s="416">
        <v>276.76389999999998</v>
      </c>
    </row>
    <row r="101" spans="1:10" s="296" customFormat="1" ht="20.100000000000001" customHeight="1" x14ac:dyDescent="0.25">
      <c r="A101" s="454"/>
      <c r="B101" s="454"/>
      <c r="C101" s="454"/>
      <c r="D101" s="454"/>
      <c r="E101" s="454"/>
      <c r="F101" s="454" t="s">
        <v>170</v>
      </c>
      <c r="G101" s="454"/>
      <c r="H101" s="454"/>
      <c r="I101" s="454"/>
      <c r="J101" s="416">
        <v>1.43E-2</v>
      </c>
    </row>
    <row r="102" spans="1:10" s="296" customFormat="1" ht="20.100000000000001" customHeight="1" x14ac:dyDescent="0.25">
      <c r="A102" s="454"/>
      <c r="B102" s="454"/>
      <c r="C102" s="454"/>
      <c r="D102" s="454"/>
      <c r="E102" s="454"/>
      <c r="F102" s="454" t="s">
        <v>171</v>
      </c>
      <c r="G102" s="454"/>
      <c r="H102" s="454"/>
      <c r="I102" s="454"/>
      <c r="J102" s="416">
        <v>9.1000000000000004E-3</v>
      </c>
    </row>
    <row r="103" spans="1:10" s="296" customFormat="1" ht="20.100000000000001" customHeight="1" x14ac:dyDescent="0.25">
      <c r="A103" s="454"/>
      <c r="B103" s="454"/>
      <c r="C103" s="454"/>
      <c r="D103" s="454"/>
      <c r="E103" s="454"/>
      <c r="F103" s="454" t="s">
        <v>172</v>
      </c>
      <c r="G103" s="454"/>
      <c r="H103" s="454"/>
      <c r="I103" s="454"/>
      <c r="J103" s="416">
        <v>435.75</v>
      </c>
    </row>
    <row r="104" spans="1:10" s="296" customFormat="1" ht="20.100000000000001" customHeight="1" x14ac:dyDescent="0.25">
      <c r="A104" s="454"/>
      <c r="B104" s="454"/>
      <c r="C104" s="454"/>
      <c r="D104" s="454"/>
      <c r="E104" s="454"/>
      <c r="F104" s="454" t="s">
        <v>173</v>
      </c>
      <c r="G104" s="454"/>
      <c r="H104" s="454"/>
      <c r="I104" s="454"/>
      <c r="J104" s="416">
        <v>0.6351</v>
      </c>
    </row>
    <row r="105" spans="1:10" s="296" customFormat="1" ht="15" x14ac:dyDescent="0.25">
      <c r="A105" s="409"/>
      <c r="B105" s="409"/>
      <c r="C105" s="409"/>
      <c r="D105" s="409"/>
      <c r="E105" s="409"/>
      <c r="F105" s="410"/>
      <c r="G105" s="409"/>
      <c r="H105" s="410"/>
      <c r="I105" s="409"/>
      <c r="J105" s="410"/>
    </row>
    <row r="106" spans="1:10" s="296" customFormat="1" ht="15.75" thickBot="1" x14ac:dyDescent="0.3">
      <c r="A106" s="409"/>
      <c r="B106" s="409"/>
      <c r="C106" s="409"/>
      <c r="D106" s="409"/>
      <c r="E106" s="409" t="s">
        <v>116</v>
      </c>
      <c r="F106" s="410">
        <v>0.14000000000000001</v>
      </c>
      <c r="G106" s="409"/>
      <c r="H106" s="455" t="s">
        <v>117</v>
      </c>
      <c r="I106" s="455"/>
      <c r="J106" s="410">
        <v>0.78</v>
      </c>
    </row>
    <row r="107" spans="1:10" s="296" customFormat="1" ht="0.95" customHeight="1" thickTop="1" x14ac:dyDescent="0.25">
      <c r="A107" s="411"/>
      <c r="B107" s="411"/>
      <c r="C107" s="411"/>
      <c r="D107" s="411"/>
      <c r="E107" s="411"/>
      <c r="F107" s="411"/>
      <c r="G107" s="411"/>
      <c r="H107" s="411"/>
      <c r="I107" s="411"/>
      <c r="J107" s="411"/>
    </row>
    <row r="108" spans="1:10" s="296" customFormat="1" ht="18" customHeight="1" x14ac:dyDescent="0.25">
      <c r="A108" s="412" t="s">
        <v>659</v>
      </c>
      <c r="B108" s="413" t="s">
        <v>67</v>
      </c>
      <c r="C108" s="412" t="s">
        <v>68</v>
      </c>
      <c r="D108" s="412" t="s">
        <v>1</v>
      </c>
      <c r="E108" s="457" t="s">
        <v>110</v>
      </c>
      <c r="F108" s="457"/>
      <c r="G108" s="414" t="s">
        <v>2</v>
      </c>
      <c r="H108" s="413" t="s">
        <v>3</v>
      </c>
      <c r="I108" s="413" t="s">
        <v>69</v>
      </c>
      <c r="J108" s="413" t="s">
        <v>45</v>
      </c>
    </row>
    <row r="109" spans="1:10" s="296" customFormat="1" ht="26.1" customHeight="1" x14ac:dyDescent="0.25">
      <c r="A109" s="394" t="s">
        <v>111</v>
      </c>
      <c r="B109" s="395" t="s">
        <v>529</v>
      </c>
      <c r="C109" s="394" t="s">
        <v>77</v>
      </c>
      <c r="D109" s="394" t="s">
        <v>494</v>
      </c>
      <c r="E109" s="458" t="s">
        <v>94</v>
      </c>
      <c r="F109" s="458"/>
      <c r="G109" s="396" t="s">
        <v>15</v>
      </c>
      <c r="H109" s="397">
        <v>1</v>
      </c>
      <c r="I109" s="398">
        <v>0.53</v>
      </c>
      <c r="J109" s="398">
        <v>0.53</v>
      </c>
    </row>
    <row r="110" spans="1:10" s="296" customFormat="1" ht="15" customHeight="1" x14ac:dyDescent="0.25">
      <c r="A110" s="457" t="s">
        <v>155</v>
      </c>
      <c r="B110" s="456" t="s">
        <v>67</v>
      </c>
      <c r="C110" s="457" t="s">
        <v>68</v>
      </c>
      <c r="D110" s="457" t="s">
        <v>156</v>
      </c>
      <c r="E110" s="456" t="s">
        <v>157</v>
      </c>
      <c r="F110" s="459" t="s">
        <v>158</v>
      </c>
      <c r="G110" s="456"/>
      <c r="H110" s="459" t="s">
        <v>159</v>
      </c>
      <c r="I110" s="456"/>
      <c r="J110" s="456" t="s">
        <v>160</v>
      </c>
    </row>
    <row r="111" spans="1:10" s="296" customFormat="1" ht="15" customHeight="1" x14ac:dyDescent="0.25">
      <c r="A111" s="456"/>
      <c r="B111" s="456"/>
      <c r="C111" s="456"/>
      <c r="D111" s="456"/>
      <c r="E111" s="456"/>
      <c r="F111" s="413" t="s">
        <v>161</v>
      </c>
      <c r="G111" s="413" t="s">
        <v>162</v>
      </c>
      <c r="H111" s="413" t="s">
        <v>161</v>
      </c>
      <c r="I111" s="413" t="s">
        <v>162</v>
      </c>
      <c r="J111" s="456"/>
    </row>
    <row r="112" spans="1:10" s="296" customFormat="1" ht="26.1" customHeight="1" x14ac:dyDescent="0.25">
      <c r="A112" s="404" t="s">
        <v>120</v>
      </c>
      <c r="B112" s="405" t="s">
        <v>174</v>
      </c>
      <c r="C112" s="404" t="s">
        <v>77</v>
      </c>
      <c r="D112" s="404" t="s">
        <v>175</v>
      </c>
      <c r="E112" s="407">
        <v>1</v>
      </c>
      <c r="F112" s="408">
        <v>1</v>
      </c>
      <c r="G112" s="408">
        <v>0</v>
      </c>
      <c r="H112" s="415">
        <v>276.76389999999998</v>
      </c>
      <c r="I112" s="415">
        <v>101.5802</v>
      </c>
      <c r="J112" s="415">
        <v>276.76389999999998</v>
      </c>
    </row>
    <row r="113" spans="1:10" s="296" customFormat="1" ht="20.100000000000001" customHeight="1" x14ac:dyDescent="0.25">
      <c r="A113" s="454"/>
      <c r="B113" s="454"/>
      <c r="C113" s="454"/>
      <c r="D113" s="454"/>
      <c r="E113" s="454"/>
      <c r="F113" s="454" t="s">
        <v>163</v>
      </c>
      <c r="G113" s="454"/>
      <c r="H113" s="454"/>
      <c r="I113" s="454"/>
      <c r="J113" s="416">
        <v>276.76389999999998</v>
      </c>
    </row>
    <row r="114" spans="1:10" s="296" customFormat="1" ht="20.100000000000001" customHeight="1" x14ac:dyDescent="0.25">
      <c r="A114" s="454"/>
      <c r="B114" s="454"/>
      <c r="C114" s="454"/>
      <c r="D114" s="454"/>
      <c r="E114" s="454"/>
      <c r="F114" s="454" t="s">
        <v>169</v>
      </c>
      <c r="G114" s="454"/>
      <c r="H114" s="454"/>
      <c r="I114" s="454"/>
      <c r="J114" s="416">
        <v>276.76389999999998</v>
      </c>
    </row>
    <row r="115" spans="1:10" s="296" customFormat="1" ht="20.100000000000001" customHeight="1" x14ac:dyDescent="0.25">
      <c r="A115" s="454"/>
      <c r="B115" s="454"/>
      <c r="C115" s="454"/>
      <c r="D115" s="454"/>
      <c r="E115" s="454"/>
      <c r="F115" s="454" t="s">
        <v>170</v>
      </c>
      <c r="G115" s="454"/>
      <c r="H115" s="454"/>
      <c r="I115" s="454"/>
      <c r="J115" s="416">
        <v>0</v>
      </c>
    </row>
    <row r="116" spans="1:10" s="296" customFormat="1" ht="20.100000000000001" customHeight="1" x14ac:dyDescent="0.25">
      <c r="A116" s="454"/>
      <c r="B116" s="454"/>
      <c r="C116" s="454"/>
      <c r="D116" s="454"/>
      <c r="E116" s="454"/>
      <c r="F116" s="454" t="s">
        <v>171</v>
      </c>
      <c r="G116" s="454"/>
      <c r="H116" s="454"/>
      <c r="I116" s="454"/>
      <c r="J116" s="416">
        <v>0</v>
      </c>
    </row>
    <row r="117" spans="1:10" s="296" customFormat="1" ht="20.100000000000001" customHeight="1" x14ac:dyDescent="0.25">
      <c r="A117" s="454"/>
      <c r="B117" s="454"/>
      <c r="C117" s="454"/>
      <c r="D117" s="454"/>
      <c r="E117" s="454"/>
      <c r="F117" s="454" t="s">
        <v>172</v>
      </c>
      <c r="G117" s="454"/>
      <c r="H117" s="454"/>
      <c r="I117" s="454"/>
      <c r="J117" s="416">
        <v>522.9</v>
      </c>
    </row>
    <row r="118" spans="1:10" s="296" customFormat="1" ht="20.100000000000001" customHeight="1" x14ac:dyDescent="0.25">
      <c r="A118" s="454"/>
      <c r="B118" s="454"/>
      <c r="C118" s="454"/>
      <c r="D118" s="454"/>
      <c r="E118" s="454"/>
      <c r="F118" s="454" t="s">
        <v>173</v>
      </c>
      <c r="G118" s="454"/>
      <c r="H118" s="454"/>
      <c r="I118" s="454"/>
      <c r="J118" s="416">
        <v>0.52929999999999999</v>
      </c>
    </row>
    <row r="119" spans="1:10" s="296" customFormat="1" ht="15" x14ac:dyDescent="0.25">
      <c r="A119" s="409"/>
      <c r="B119" s="409"/>
      <c r="C119" s="409"/>
      <c r="D119" s="409"/>
      <c r="E119" s="409"/>
      <c r="F119" s="410"/>
      <c r="G119" s="409"/>
      <c r="H119" s="410"/>
      <c r="I119" s="409"/>
      <c r="J119" s="410"/>
    </row>
    <row r="120" spans="1:10" s="296" customFormat="1" ht="15.75" thickBot="1" x14ac:dyDescent="0.3">
      <c r="A120" s="409"/>
      <c r="B120" s="409"/>
      <c r="C120" s="409"/>
      <c r="D120" s="409"/>
      <c r="E120" s="409" t="s">
        <v>116</v>
      </c>
      <c r="F120" s="410">
        <v>0.12</v>
      </c>
      <c r="G120" s="409"/>
      <c r="H120" s="455" t="s">
        <v>117</v>
      </c>
      <c r="I120" s="455"/>
      <c r="J120" s="410">
        <v>0.65</v>
      </c>
    </row>
    <row r="121" spans="1:10" s="296" customFormat="1" ht="0.95" customHeight="1" thickTop="1" x14ac:dyDescent="0.25">
      <c r="A121" s="411"/>
      <c r="B121" s="411"/>
      <c r="C121" s="411"/>
      <c r="D121" s="411"/>
      <c r="E121" s="411"/>
      <c r="F121" s="411"/>
      <c r="G121" s="411"/>
      <c r="H121" s="411"/>
      <c r="I121" s="411"/>
      <c r="J121" s="411"/>
    </row>
    <row r="122" spans="1:10" s="296" customFormat="1" ht="18" customHeight="1" x14ac:dyDescent="0.25">
      <c r="A122" s="412" t="s">
        <v>660</v>
      </c>
      <c r="B122" s="413" t="s">
        <v>67</v>
      </c>
      <c r="C122" s="412" t="s">
        <v>68</v>
      </c>
      <c r="D122" s="412" t="s">
        <v>1</v>
      </c>
      <c r="E122" s="457" t="s">
        <v>110</v>
      </c>
      <c r="F122" s="457"/>
      <c r="G122" s="414" t="s">
        <v>2</v>
      </c>
      <c r="H122" s="413" t="s">
        <v>3</v>
      </c>
      <c r="I122" s="413" t="s">
        <v>69</v>
      </c>
      <c r="J122" s="413" t="s">
        <v>45</v>
      </c>
    </row>
    <row r="123" spans="1:10" s="296" customFormat="1" ht="24" customHeight="1" x14ac:dyDescent="0.25">
      <c r="A123" s="394" t="s">
        <v>111</v>
      </c>
      <c r="B123" s="395" t="s">
        <v>76</v>
      </c>
      <c r="C123" s="394" t="s">
        <v>77</v>
      </c>
      <c r="D123" s="394" t="s">
        <v>13</v>
      </c>
      <c r="E123" s="458" t="s">
        <v>94</v>
      </c>
      <c r="F123" s="458"/>
      <c r="G123" s="396" t="s">
        <v>14</v>
      </c>
      <c r="H123" s="397">
        <v>1</v>
      </c>
      <c r="I123" s="398">
        <v>1.61</v>
      </c>
      <c r="J123" s="398">
        <v>1.61</v>
      </c>
    </row>
    <row r="124" spans="1:10" s="296" customFormat="1" ht="15" customHeight="1" x14ac:dyDescent="0.25">
      <c r="A124" s="457" t="s">
        <v>155</v>
      </c>
      <c r="B124" s="456" t="s">
        <v>67</v>
      </c>
      <c r="C124" s="457" t="s">
        <v>68</v>
      </c>
      <c r="D124" s="457" t="s">
        <v>156</v>
      </c>
      <c r="E124" s="456" t="s">
        <v>157</v>
      </c>
      <c r="F124" s="459" t="s">
        <v>158</v>
      </c>
      <c r="G124" s="456"/>
      <c r="H124" s="459" t="s">
        <v>159</v>
      </c>
      <c r="I124" s="456"/>
      <c r="J124" s="456" t="s">
        <v>160</v>
      </c>
    </row>
    <row r="125" spans="1:10" s="296" customFormat="1" ht="15" customHeight="1" x14ac:dyDescent="0.25">
      <c r="A125" s="456"/>
      <c r="B125" s="456"/>
      <c r="C125" s="456"/>
      <c r="D125" s="456"/>
      <c r="E125" s="456"/>
      <c r="F125" s="413" t="s">
        <v>161</v>
      </c>
      <c r="G125" s="413" t="s">
        <v>162</v>
      </c>
      <c r="H125" s="413" t="s">
        <v>161</v>
      </c>
      <c r="I125" s="413" t="s">
        <v>162</v>
      </c>
      <c r="J125" s="456"/>
    </row>
    <row r="126" spans="1:10" s="296" customFormat="1" ht="24" customHeight="1" x14ac:dyDescent="0.25">
      <c r="A126" s="404" t="s">
        <v>120</v>
      </c>
      <c r="B126" s="405" t="s">
        <v>176</v>
      </c>
      <c r="C126" s="404" t="s">
        <v>77</v>
      </c>
      <c r="D126" s="404" t="s">
        <v>41</v>
      </c>
      <c r="E126" s="407">
        <v>1</v>
      </c>
      <c r="F126" s="408">
        <v>1</v>
      </c>
      <c r="G126" s="408">
        <v>0</v>
      </c>
      <c r="H126" s="415">
        <v>258.65129999999999</v>
      </c>
      <c r="I126" s="415">
        <v>109.92489999999999</v>
      </c>
      <c r="J126" s="415">
        <v>258.65129999999999</v>
      </c>
    </row>
    <row r="127" spans="1:10" s="296" customFormat="1" ht="20.100000000000001" customHeight="1" x14ac:dyDescent="0.25">
      <c r="A127" s="454"/>
      <c r="B127" s="454"/>
      <c r="C127" s="454"/>
      <c r="D127" s="454"/>
      <c r="E127" s="454"/>
      <c r="F127" s="454" t="s">
        <v>163</v>
      </c>
      <c r="G127" s="454"/>
      <c r="H127" s="454"/>
      <c r="I127" s="454"/>
      <c r="J127" s="416">
        <v>258.65129999999999</v>
      </c>
    </row>
    <row r="128" spans="1:10" s="296" customFormat="1" ht="20.100000000000001" customHeight="1" x14ac:dyDescent="0.25">
      <c r="A128" s="412" t="s">
        <v>164</v>
      </c>
      <c r="B128" s="413" t="s">
        <v>67</v>
      </c>
      <c r="C128" s="412" t="s">
        <v>68</v>
      </c>
      <c r="D128" s="412" t="s">
        <v>125</v>
      </c>
      <c r="E128" s="413" t="s">
        <v>157</v>
      </c>
      <c r="F128" s="456" t="s">
        <v>165</v>
      </c>
      <c r="G128" s="456"/>
      <c r="H128" s="456"/>
      <c r="I128" s="456"/>
      <c r="J128" s="413" t="s">
        <v>160</v>
      </c>
    </row>
    <row r="129" spans="1:10" s="296" customFormat="1" ht="24" customHeight="1" x14ac:dyDescent="0.25">
      <c r="A129" s="404" t="s">
        <v>120</v>
      </c>
      <c r="B129" s="405" t="s">
        <v>166</v>
      </c>
      <c r="C129" s="404" t="s">
        <v>77</v>
      </c>
      <c r="D129" s="404" t="s">
        <v>124</v>
      </c>
      <c r="E129" s="407">
        <v>1</v>
      </c>
      <c r="F129" s="404"/>
      <c r="G129" s="404"/>
      <c r="H129" s="404"/>
      <c r="I129" s="415">
        <v>21.6083</v>
      </c>
      <c r="J129" s="415">
        <v>21.6083</v>
      </c>
    </row>
    <row r="130" spans="1:10" s="296" customFormat="1" ht="20.100000000000001" customHeight="1" x14ac:dyDescent="0.25">
      <c r="A130" s="454"/>
      <c r="B130" s="454"/>
      <c r="C130" s="454"/>
      <c r="D130" s="454"/>
      <c r="E130" s="454"/>
      <c r="F130" s="454" t="s">
        <v>167</v>
      </c>
      <c r="G130" s="454"/>
      <c r="H130" s="454"/>
      <c r="I130" s="454"/>
      <c r="J130" s="416">
        <v>21.6083</v>
      </c>
    </row>
    <row r="131" spans="1:10" s="296" customFormat="1" ht="20.100000000000001" customHeight="1" x14ac:dyDescent="0.25">
      <c r="A131" s="454"/>
      <c r="B131" s="454"/>
      <c r="C131" s="454"/>
      <c r="D131" s="454"/>
      <c r="E131" s="454"/>
      <c r="F131" s="454" t="s">
        <v>168</v>
      </c>
      <c r="G131" s="454"/>
      <c r="H131" s="454"/>
      <c r="I131" s="454"/>
      <c r="J131" s="416">
        <v>0</v>
      </c>
    </row>
    <row r="132" spans="1:10" s="296" customFormat="1" ht="20.100000000000001" customHeight="1" x14ac:dyDescent="0.25">
      <c r="A132" s="454"/>
      <c r="B132" s="454"/>
      <c r="C132" s="454"/>
      <c r="D132" s="454"/>
      <c r="E132" s="454"/>
      <c r="F132" s="454" t="s">
        <v>169</v>
      </c>
      <c r="G132" s="454"/>
      <c r="H132" s="454"/>
      <c r="I132" s="454"/>
      <c r="J132" s="416">
        <v>280.25959999999998</v>
      </c>
    </row>
    <row r="133" spans="1:10" s="296" customFormat="1" ht="20.100000000000001" customHeight="1" x14ac:dyDescent="0.25">
      <c r="A133" s="454"/>
      <c r="B133" s="454"/>
      <c r="C133" s="454"/>
      <c r="D133" s="454"/>
      <c r="E133" s="454"/>
      <c r="F133" s="454" t="s">
        <v>170</v>
      </c>
      <c r="G133" s="454"/>
      <c r="H133" s="454"/>
      <c r="I133" s="454"/>
      <c r="J133" s="416">
        <v>1.43E-2</v>
      </c>
    </row>
    <row r="134" spans="1:10" s="296" customFormat="1" ht="20.100000000000001" customHeight="1" x14ac:dyDescent="0.25">
      <c r="A134" s="454"/>
      <c r="B134" s="454"/>
      <c r="C134" s="454"/>
      <c r="D134" s="454"/>
      <c r="E134" s="454"/>
      <c r="F134" s="454" t="s">
        <v>171</v>
      </c>
      <c r="G134" s="454"/>
      <c r="H134" s="454"/>
      <c r="I134" s="454"/>
      <c r="J134" s="416">
        <v>2.2599999999999999E-2</v>
      </c>
    </row>
    <row r="135" spans="1:10" s="296" customFormat="1" ht="20.100000000000001" customHeight="1" x14ac:dyDescent="0.25">
      <c r="A135" s="454"/>
      <c r="B135" s="454"/>
      <c r="C135" s="454"/>
      <c r="D135" s="454"/>
      <c r="E135" s="454"/>
      <c r="F135" s="454" t="s">
        <v>172</v>
      </c>
      <c r="G135" s="454"/>
      <c r="H135" s="454"/>
      <c r="I135" s="454"/>
      <c r="J135" s="416">
        <v>176.81</v>
      </c>
    </row>
    <row r="136" spans="1:10" s="296" customFormat="1" ht="20.100000000000001" customHeight="1" x14ac:dyDescent="0.25">
      <c r="A136" s="454"/>
      <c r="B136" s="454"/>
      <c r="C136" s="454"/>
      <c r="D136" s="454"/>
      <c r="E136" s="454"/>
      <c r="F136" s="454" t="s">
        <v>173</v>
      </c>
      <c r="G136" s="454"/>
      <c r="H136" s="454"/>
      <c r="I136" s="454"/>
      <c r="J136" s="416">
        <v>1.5851</v>
      </c>
    </row>
    <row r="137" spans="1:10" s="296" customFormat="1" ht="15" x14ac:dyDescent="0.25">
      <c r="A137" s="409"/>
      <c r="B137" s="409"/>
      <c r="C137" s="409"/>
      <c r="D137" s="409"/>
      <c r="E137" s="409"/>
      <c r="F137" s="410"/>
      <c r="G137" s="409"/>
      <c r="H137" s="410"/>
      <c r="I137" s="409"/>
      <c r="J137" s="410"/>
    </row>
    <row r="138" spans="1:10" s="296" customFormat="1" ht="15.75" thickBot="1" x14ac:dyDescent="0.3">
      <c r="A138" s="409"/>
      <c r="B138" s="409"/>
      <c r="C138" s="409"/>
      <c r="D138" s="409"/>
      <c r="E138" s="409" t="s">
        <v>116</v>
      </c>
      <c r="F138" s="410">
        <v>0.37</v>
      </c>
      <c r="G138" s="409"/>
      <c r="H138" s="455" t="s">
        <v>117</v>
      </c>
      <c r="I138" s="455"/>
      <c r="J138" s="410">
        <v>1.98</v>
      </c>
    </row>
    <row r="139" spans="1:10" s="296" customFormat="1" ht="0.95" customHeight="1" thickTop="1" x14ac:dyDescent="0.25">
      <c r="A139" s="411"/>
      <c r="B139" s="411"/>
      <c r="C139" s="411"/>
      <c r="D139" s="411"/>
      <c r="E139" s="411"/>
      <c r="F139" s="411"/>
      <c r="G139" s="411"/>
      <c r="H139" s="411"/>
      <c r="I139" s="411"/>
      <c r="J139" s="411"/>
    </row>
    <row r="140" spans="1:10" s="296" customFormat="1" ht="18" customHeight="1" x14ac:dyDescent="0.25">
      <c r="A140" s="412" t="s">
        <v>661</v>
      </c>
      <c r="B140" s="413" t="s">
        <v>67</v>
      </c>
      <c r="C140" s="412" t="s">
        <v>68</v>
      </c>
      <c r="D140" s="412" t="s">
        <v>1</v>
      </c>
      <c r="E140" s="457" t="s">
        <v>110</v>
      </c>
      <c r="F140" s="457"/>
      <c r="G140" s="414" t="s">
        <v>2</v>
      </c>
      <c r="H140" s="413" t="s">
        <v>3</v>
      </c>
      <c r="I140" s="413" t="s">
        <v>69</v>
      </c>
      <c r="J140" s="413" t="s">
        <v>45</v>
      </c>
    </row>
    <row r="141" spans="1:10" s="296" customFormat="1" ht="24" customHeight="1" x14ac:dyDescent="0.25">
      <c r="A141" s="394" t="s">
        <v>111</v>
      </c>
      <c r="B141" s="395" t="s">
        <v>79</v>
      </c>
      <c r="C141" s="394" t="s">
        <v>77</v>
      </c>
      <c r="D141" s="394" t="s">
        <v>17</v>
      </c>
      <c r="E141" s="458" t="s">
        <v>94</v>
      </c>
      <c r="F141" s="458"/>
      <c r="G141" s="396" t="s">
        <v>14</v>
      </c>
      <c r="H141" s="397">
        <v>1</v>
      </c>
      <c r="I141" s="398">
        <v>10.84</v>
      </c>
      <c r="J141" s="398">
        <v>10.84</v>
      </c>
    </row>
    <row r="142" spans="1:10" s="296" customFormat="1" ht="15" customHeight="1" x14ac:dyDescent="0.25">
      <c r="A142" s="457" t="s">
        <v>155</v>
      </c>
      <c r="B142" s="456" t="s">
        <v>67</v>
      </c>
      <c r="C142" s="457" t="s">
        <v>68</v>
      </c>
      <c r="D142" s="457" t="s">
        <v>156</v>
      </c>
      <c r="E142" s="456" t="s">
        <v>157</v>
      </c>
      <c r="F142" s="459" t="s">
        <v>158</v>
      </c>
      <c r="G142" s="456"/>
      <c r="H142" s="459" t="s">
        <v>159</v>
      </c>
      <c r="I142" s="456"/>
      <c r="J142" s="456" t="s">
        <v>160</v>
      </c>
    </row>
    <row r="143" spans="1:10" s="296" customFormat="1" ht="15" customHeight="1" x14ac:dyDescent="0.25">
      <c r="A143" s="456"/>
      <c r="B143" s="456"/>
      <c r="C143" s="456"/>
      <c r="D143" s="456"/>
      <c r="E143" s="456"/>
      <c r="F143" s="413" t="s">
        <v>161</v>
      </c>
      <c r="G143" s="413" t="s">
        <v>162</v>
      </c>
      <c r="H143" s="413" t="s">
        <v>161</v>
      </c>
      <c r="I143" s="413" t="s">
        <v>162</v>
      </c>
      <c r="J143" s="456"/>
    </row>
    <row r="144" spans="1:10" s="296" customFormat="1" ht="26.1" customHeight="1" x14ac:dyDescent="0.25">
      <c r="A144" s="404" t="s">
        <v>120</v>
      </c>
      <c r="B144" s="405" t="s">
        <v>177</v>
      </c>
      <c r="C144" s="404" t="s">
        <v>77</v>
      </c>
      <c r="D144" s="404" t="s">
        <v>178</v>
      </c>
      <c r="E144" s="407">
        <v>2</v>
      </c>
      <c r="F144" s="408">
        <v>0.62</v>
      </c>
      <c r="G144" s="408">
        <v>0.38</v>
      </c>
      <c r="H144" s="415">
        <v>298.26069999999999</v>
      </c>
      <c r="I144" s="415">
        <v>89.097099999999998</v>
      </c>
      <c r="J144" s="415">
        <v>437.55709999999999</v>
      </c>
    </row>
    <row r="145" spans="1:10" s="296" customFormat="1" ht="24" customHeight="1" x14ac:dyDescent="0.25">
      <c r="A145" s="404" t="s">
        <v>120</v>
      </c>
      <c r="B145" s="405" t="s">
        <v>179</v>
      </c>
      <c r="C145" s="404" t="s">
        <v>77</v>
      </c>
      <c r="D145" s="404" t="s">
        <v>180</v>
      </c>
      <c r="E145" s="407">
        <v>1</v>
      </c>
      <c r="F145" s="408">
        <v>0.69</v>
      </c>
      <c r="G145" s="408">
        <v>0.31</v>
      </c>
      <c r="H145" s="415">
        <v>4.8484999999999996</v>
      </c>
      <c r="I145" s="415">
        <v>3.3763999999999998</v>
      </c>
      <c r="J145" s="415">
        <v>4.3921000000000001</v>
      </c>
    </row>
    <row r="146" spans="1:10" s="296" customFormat="1" ht="24" customHeight="1" x14ac:dyDescent="0.25">
      <c r="A146" s="404" t="s">
        <v>120</v>
      </c>
      <c r="B146" s="405" t="s">
        <v>181</v>
      </c>
      <c r="C146" s="404" t="s">
        <v>77</v>
      </c>
      <c r="D146" s="404" t="s">
        <v>38</v>
      </c>
      <c r="E146" s="407">
        <v>1</v>
      </c>
      <c r="F146" s="408">
        <v>0.99</v>
      </c>
      <c r="G146" s="408">
        <v>0.01</v>
      </c>
      <c r="H146" s="415">
        <v>279.14210000000003</v>
      </c>
      <c r="I146" s="415">
        <v>130.55009999999999</v>
      </c>
      <c r="J146" s="415">
        <v>277.65620000000001</v>
      </c>
    </row>
    <row r="147" spans="1:10" s="296" customFormat="1" ht="26.1" customHeight="1" x14ac:dyDescent="0.25">
      <c r="A147" s="404" t="s">
        <v>120</v>
      </c>
      <c r="B147" s="405" t="s">
        <v>182</v>
      </c>
      <c r="C147" s="404" t="s">
        <v>77</v>
      </c>
      <c r="D147" s="404" t="s">
        <v>39</v>
      </c>
      <c r="E147" s="407">
        <v>1</v>
      </c>
      <c r="F147" s="408">
        <v>0.96</v>
      </c>
      <c r="G147" s="408">
        <v>0.04</v>
      </c>
      <c r="H147" s="415">
        <v>241.52109999999999</v>
      </c>
      <c r="I147" s="415">
        <v>125.0121</v>
      </c>
      <c r="J147" s="415">
        <v>236.86070000000001</v>
      </c>
    </row>
    <row r="148" spans="1:10" s="296" customFormat="1" ht="26.1" customHeight="1" x14ac:dyDescent="0.25">
      <c r="A148" s="404" t="s">
        <v>120</v>
      </c>
      <c r="B148" s="405" t="s">
        <v>183</v>
      </c>
      <c r="C148" s="404" t="s">
        <v>77</v>
      </c>
      <c r="D148" s="404" t="s">
        <v>40</v>
      </c>
      <c r="E148" s="407">
        <v>1</v>
      </c>
      <c r="F148" s="408">
        <v>1</v>
      </c>
      <c r="G148" s="408">
        <v>0</v>
      </c>
      <c r="H148" s="415">
        <v>199.6669</v>
      </c>
      <c r="I148" s="415">
        <v>96.510900000000007</v>
      </c>
      <c r="J148" s="415">
        <v>199.6669</v>
      </c>
    </row>
    <row r="149" spans="1:10" s="296" customFormat="1" ht="24" customHeight="1" x14ac:dyDescent="0.25">
      <c r="A149" s="404" t="s">
        <v>120</v>
      </c>
      <c r="B149" s="405" t="s">
        <v>184</v>
      </c>
      <c r="C149" s="404" t="s">
        <v>77</v>
      </c>
      <c r="D149" s="404" t="s">
        <v>43</v>
      </c>
      <c r="E149" s="407">
        <v>1</v>
      </c>
      <c r="F149" s="408">
        <v>0.69</v>
      </c>
      <c r="G149" s="408">
        <v>0.31</v>
      </c>
      <c r="H149" s="415">
        <v>126.06010000000001</v>
      </c>
      <c r="I149" s="415">
        <v>50.948399999999999</v>
      </c>
      <c r="J149" s="415">
        <v>102.77549999999999</v>
      </c>
    </row>
    <row r="150" spans="1:10" s="296" customFormat="1" ht="20.100000000000001" customHeight="1" x14ac:dyDescent="0.25">
      <c r="A150" s="454"/>
      <c r="B150" s="454"/>
      <c r="C150" s="454"/>
      <c r="D150" s="454"/>
      <c r="E150" s="454"/>
      <c r="F150" s="454" t="s">
        <v>163</v>
      </c>
      <c r="G150" s="454"/>
      <c r="H150" s="454"/>
      <c r="I150" s="454"/>
      <c r="J150" s="416">
        <v>1258.9085</v>
      </c>
    </row>
    <row r="151" spans="1:10" s="296" customFormat="1" ht="20.100000000000001" customHeight="1" x14ac:dyDescent="0.25">
      <c r="A151" s="412" t="s">
        <v>164</v>
      </c>
      <c r="B151" s="413" t="s">
        <v>67</v>
      </c>
      <c r="C151" s="412" t="s">
        <v>68</v>
      </c>
      <c r="D151" s="412" t="s">
        <v>125</v>
      </c>
      <c r="E151" s="413" t="s">
        <v>157</v>
      </c>
      <c r="F151" s="456" t="s">
        <v>165</v>
      </c>
      <c r="G151" s="456"/>
      <c r="H151" s="456"/>
      <c r="I151" s="456"/>
      <c r="J151" s="413" t="s">
        <v>160</v>
      </c>
    </row>
    <row r="152" spans="1:10" s="296" customFormat="1" ht="24" customHeight="1" x14ac:dyDescent="0.25">
      <c r="A152" s="404" t="s">
        <v>120</v>
      </c>
      <c r="B152" s="405" t="s">
        <v>166</v>
      </c>
      <c r="C152" s="404" t="s">
        <v>77</v>
      </c>
      <c r="D152" s="404" t="s">
        <v>124</v>
      </c>
      <c r="E152" s="407">
        <v>1</v>
      </c>
      <c r="F152" s="404"/>
      <c r="G152" s="404"/>
      <c r="H152" s="404"/>
      <c r="I152" s="415">
        <v>21.6083</v>
      </c>
      <c r="J152" s="415">
        <v>21.6083</v>
      </c>
    </row>
    <row r="153" spans="1:10" s="296" customFormat="1" ht="20.100000000000001" customHeight="1" x14ac:dyDescent="0.25">
      <c r="A153" s="454"/>
      <c r="B153" s="454"/>
      <c r="C153" s="454"/>
      <c r="D153" s="454"/>
      <c r="E153" s="454"/>
      <c r="F153" s="454" t="s">
        <v>167</v>
      </c>
      <c r="G153" s="454"/>
      <c r="H153" s="454"/>
      <c r="I153" s="454"/>
      <c r="J153" s="416">
        <v>21.6083</v>
      </c>
    </row>
    <row r="154" spans="1:10" s="296" customFormat="1" ht="20.100000000000001" customHeight="1" x14ac:dyDescent="0.25">
      <c r="A154" s="454"/>
      <c r="B154" s="454"/>
      <c r="C154" s="454"/>
      <c r="D154" s="454"/>
      <c r="E154" s="454"/>
      <c r="F154" s="454" t="s">
        <v>168</v>
      </c>
      <c r="G154" s="454"/>
      <c r="H154" s="454"/>
      <c r="I154" s="454"/>
      <c r="J154" s="416">
        <v>0</v>
      </c>
    </row>
    <row r="155" spans="1:10" s="296" customFormat="1" ht="20.100000000000001" customHeight="1" x14ac:dyDescent="0.25">
      <c r="A155" s="454"/>
      <c r="B155" s="454"/>
      <c r="C155" s="454"/>
      <c r="D155" s="454"/>
      <c r="E155" s="454"/>
      <c r="F155" s="454" t="s">
        <v>169</v>
      </c>
      <c r="G155" s="454"/>
      <c r="H155" s="454"/>
      <c r="I155" s="454"/>
      <c r="J155" s="416">
        <v>1280.5168000000001</v>
      </c>
    </row>
    <row r="156" spans="1:10" s="296" customFormat="1" ht="20.100000000000001" customHeight="1" x14ac:dyDescent="0.25">
      <c r="A156" s="454"/>
      <c r="B156" s="454"/>
      <c r="C156" s="454"/>
      <c r="D156" s="454"/>
      <c r="E156" s="454"/>
      <c r="F156" s="454" t="s">
        <v>170</v>
      </c>
      <c r="G156" s="454"/>
      <c r="H156" s="454"/>
      <c r="I156" s="454"/>
      <c r="J156" s="416">
        <v>1.43E-2</v>
      </c>
    </row>
    <row r="157" spans="1:10" s="296" customFormat="1" ht="20.100000000000001" customHeight="1" x14ac:dyDescent="0.25">
      <c r="A157" s="454"/>
      <c r="B157" s="454"/>
      <c r="C157" s="454"/>
      <c r="D157" s="454"/>
      <c r="E157" s="454"/>
      <c r="F157" s="454" t="s">
        <v>171</v>
      </c>
      <c r="G157" s="454"/>
      <c r="H157" s="454"/>
      <c r="I157" s="454"/>
      <c r="J157" s="416">
        <v>8.14E-2</v>
      </c>
    </row>
    <row r="158" spans="1:10" s="296" customFormat="1" ht="20.100000000000001" customHeight="1" x14ac:dyDescent="0.25">
      <c r="A158" s="454"/>
      <c r="B158" s="454"/>
      <c r="C158" s="454"/>
      <c r="D158" s="454"/>
      <c r="E158" s="454"/>
      <c r="F158" s="454" t="s">
        <v>172</v>
      </c>
      <c r="G158" s="454"/>
      <c r="H158" s="454"/>
      <c r="I158" s="454"/>
      <c r="J158" s="416">
        <v>224.27</v>
      </c>
    </row>
    <row r="159" spans="1:10" s="296" customFormat="1" ht="20.100000000000001" customHeight="1" x14ac:dyDescent="0.25">
      <c r="A159" s="454"/>
      <c r="B159" s="454"/>
      <c r="C159" s="454"/>
      <c r="D159" s="454"/>
      <c r="E159" s="454"/>
      <c r="F159" s="454" t="s">
        <v>173</v>
      </c>
      <c r="G159" s="454"/>
      <c r="H159" s="454"/>
      <c r="I159" s="454"/>
      <c r="J159" s="416">
        <v>5.7096999999999998</v>
      </c>
    </row>
    <row r="160" spans="1:10" s="296" customFormat="1" ht="20.100000000000001" customHeight="1" x14ac:dyDescent="0.25">
      <c r="A160" s="412" t="s">
        <v>185</v>
      </c>
      <c r="B160" s="413" t="s">
        <v>68</v>
      </c>
      <c r="C160" s="412" t="s">
        <v>67</v>
      </c>
      <c r="D160" s="412" t="s">
        <v>186</v>
      </c>
      <c r="E160" s="413" t="s">
        <v>157</v>
      </c>
      <c r="F160" s="413" t="s">
        <v>187</v>
      </c>
      <c r="G160" s="456" t="s">
        <v>188</v>
      </c>
      <c r="H160" s="456"/>
      <c r="I160" s="456"/>
      <c r="J160" s="413" t="s">
        <v>160</v>
      </c>
    </row>
    <row r="161" spans="1:10" s="296" customFormat="1" ht="26.1" customHeight="1" x14ac:dyDescent="0.25">
      <c r="A161" s="399" t="s">
        <v>189</v>
      </c>
      <c r="B161" s="400" t="s">
        <v>77</v>
      </c>
      <c r="C161" s="399">
        <v>4016096</v>
      </c>
      <c r="D161" s="399" t="s">
        <v>190</v>
      </c>
      <c r="E161" s="402">
        <v>1.1002700000000001</v>
      </c>
      <c r="F161" s="401" t="s">
        <v>14</v>
      </c>
      <c r="G161" s="462">
        <v>1.44</v>
      </c>
      <c r="H161" s="462"/>
      <c r="I161" s="463"/>
      <c r="J161" s="417">
        <v>1.5844</v>
      </c>
    </row>
    <row r="162" spans="1:10" s="296" customFormat="1" ht="20.100000000000001" customHeight="1" x14ac:dyDescent="0.25">
      <c r="A162" s="454"/>
      <c r="B162" s="454"/>
      <c r="C162" s="454"/>
      <c r="D162" s="454"/>
      <c r="E162" s="454"/>
      <c r="F162" s="454" t="s">
        <v>191</v>
      </c>
      <c r="G162" s="454"/>
      <c r="H162" s="454"/>
      <c r="I162" s="454"/>
      <c r="J162" s="416">
        <v>1.5844</v>
      </c>
    </row>
    <row r="163" spans="1:10" s="296" customFormat="1" ht="20.100000000000001" customHeight="1" x14ac:dyDescent="0.25">
      <c r="A163" s="412" t="s">
        <v>192</v>
      </c>
      <c r="B163" s="413" t="s">
        <v>68</v>
      </c>
      <c r="C163" s="412" t="s">
        <v>120</v>
      </c>
      <c r="D163" s="412" t="s">
        <v>193</v>
      </c>
      <c r="E163" s="413" t="s">
        <v>67</v>
      </c>
      <c r="F163" s="413" t="s">
        <v>157</v>
      </c>
      <c r="G163" s="414" t="s">
        <v>187</v>
      </c>
      <c r="H163" s="456" t="s">
        <v>188</v>
      </c>
      <c r="I163" s="456"/>
      <c r="J163" s="413" t="s">
        <v>160</v>
      </c>
    </row>
    <row r="164" spans="1:10" s="296" customFormat="1" ht="39" customHeight="1" x14ac:dyDescent="0.25">
      <c r="A164" s="399" t="s">
        <v>194</v>
      </c>
      <c r="B164" s="400" t="s">
        <v>77</v>
      </c>
      <c r="C164" s="399">
        <v>4016096</v>
      </c>
      <c r="D164" s="399" t="s">
        <v>195</v>
      </c>
      <c r="E164" s="400">
        <v>5914354</v>
      </c>
      <c r="F164" s="402">
        <v>2.0630099999999998</v>
      </c>
      <c r="G164" s="401" t="s">
        <v>22</v>
      </c>
      <c r="H164" s="462">
        <v>1.68</v>
      </c>
      <c r="I164" s="463"/>
      <c r="J164" s="417">
        <v>3.4659</v>
      </c>
    </row>
    <row r="165" spans="1:10" s="296" customFormat="1" ht="20.100000000000001" customHeight="1" x14ac:dyDescent="0.25">
      <c r="A165" s="454"/>
      <c r="B165" s="454"/>
      <c r="C165" s="454"/>
      <c r="D165" s="454"/>
      <c r="E165" s="454"/>
      <c r="F165" s="454" t="s">
        <v>196</v>
      </c>
      <c r="G165" s="454"/>
      <c r="H165" s="454"/>
      <c r="I165" s="454"/>
      <c r="J165" s="416">
        <v>3.4659</v>
      </c>
    </row>
    <row r="166" spans="1:10" s="296" customFormat="1" ht="15" x14ac:dyDescent="0.25">
      <c r="A166" s="409"/>
      <c r="B166" s="409"/>
      <c r="C166" s="409"/>
      <c r="D166" s="409"/>
      <c r="E166" s="409"/>
      <c r="F166" s="410"/>
      <c r="G166" s="409"/>
      <c r="H166" s="410"/>
      <c r="I166" s="409"/>
      <c r="J166" s="410"/>
    </row>
    <row r="167" spans="1:10" s="296" customFormat="1" ht="15.75" thickBot="1" x14ac:dyDescent="0.3">
      <c r="A167" s="409"/>
      <c r="B167" s="409"/>
      <c r="C167" s="409"/>
      <c r="D167" s="409"/>
      <c r="E167" s="409" t="s">
        <v>116</v>
      </c>
      <c r="F167" s="410">
        <v>2.5299999999999998</v>
      </c>
      <c r="G167" s="409"/>
      <c r="H167" s="455" t="s">
        <v>117</v>
      </c>
      <c r="I167" s="455"/>
      <c r="J167" s="410">
        <v>13.37</v>
      </c>
    </row>
    <row r="168" spans="1:10" s="296" customFormat="1" ht="0.95" customHeight="1" thickTop="1" x14ac:dyDescent="0.25">
      <c r="A168" s="411"/>
      <c r="B168" s="411"/>
      <c r="C168" s="411"/>
      <c r="D168" s="411"/>
      <c r="E168" s="411"/>
      <c r="F168" s="411"/>
      <c r="G168" s="411"/>
      <c r="H168" s="411"/>
      <c r="I168" s="411"/>
      <c r="J168" s="411"/>
    </row>
    <row r="169" spans="1:10" s="296" customFormat="1" ht="18" customHeight="1" x14ac:dyDescent="0.25">
      <c r="A169" s="412" t="s">
        <v>662</v>
      </c>
      <c r="B169" s="413" t="s">
        <v>67</v>
      </c>
      <c r="C169" s="412" t="s">
        <v>68</v>
      </c>
      <c r="D169" s="412" t="s">
        <v>1</v>
      </c>
      <c r="E169" s="457" t="s">
        <v>110</v>
      </c>
      <c r="F169" s="457"/>
      <c r="G169" s="414" t="s">
        <v>2</v>
      </c>
      <c r="H169" s="413" t="s">
        <v>3</v>
      </c>
      <c r="I169" s="413" t="s">
        <v>69</v>
      </c>
      <c r="J169" s="413" t="s">
        <v>45</v>
      </c>
    </row>
    <row r="170" spans="1:10" s="296" customFormat="1" ht="26.1" customHeight="1" x14ac:dyDescent="0.25">
      <c r="A170" s="394" t="s">
        <v>111</v>
      </c>
      <c r="B170" s="395" t="s">
        <v>530</v>
      </c>
      <c r="C170" s="394" t="s">
        <v>77</v>
      </c>
      <c r="D170" s="394" t="s">
        <v>503</v>
      </c>
      <c r="E170" s="458" t="s">
        <v>94</v>
      </c>
      <c r="F170" s="458"/>
      <c r="G170" s="396" t="s">
        <v>14</v>
      </c>
      <c r="H170" s="397">
        <v>1</v>
      </c>
      <c r="I170" s="398">
        <v>11.99</v>
      </c>
      <c r="J170" s="398">
        <v>11.99</v>
      </c>
    </row>
    <row r="171" spans="1:10" s="296" customFormat="1" ht="15" customHeight="1" x14ac:dyDescent="0.25">
      <c r="A171" s="457" t="s">
        <v>155</v>
      </c>
      <c r="B171" s="456" t="s">
        <v>67</v>
      </c>
      <c r="C171" s="457" t="s">
        <v>68</v>
      </c>
      <c r="D171" s="457" t="s">
        <v>156</v>
      </c>
      <c r="E171" s="456" t="s">
        <v>157</v>
      </c>
      <c r="F171" s="459" t="s">
        <v>158</v>
      </c>
      <c r="G171" s="456"/>
      <c r="H171" s="459" t="s">
        <v>159</v>
      </c>
      <c r="I171" s="456"/>
      <c r="J171" s="456" t="s">
        <v>160</v>
      </c>
    </row>
    <row r="172" spans="1:10" s="296" customFormat="1" ht="15" customHeight="1" x14ac:dyDescent="0.25">
      <c r="A172" s="456"/>
      <c r="B172" s="456"/>
      <c r="C172" s="456"/>
      <c r="D172" s="456"/>
      <c r="E172" s="456"/>
      <c r="F172" s="413" t="s">
        <v>161</v>
      </c>
      <c r="G172" s="413" t="s">
        <v>162</v>
      </c>
      <c r="H172" s="413" t="s">
        <v>161</v>
      </c>
      <c r="I172" s="413" t="s">
        <v>162</v>
      </c>
      <c r="J172" s="456"/>
    </row>
    <row r="173" spans="1:10" s="296" customFormat="1" ht="26.1" customHeight="1" x14ac:dyDescent="0.25">
      <c r="A173" s="404" t="s">
        <v>120</v>
      </c>
      <c r="B173" s="405" t="s">
        <v>177</v>
      </c>
      <c r="C173" s="404" t="s">
        <v>77</v>
      </c>
      <c r="D173" s="404" t="s">
        <v>178</v>
      </c>
      <c r="E173" s="407">
        <v>1</v>
      </c>
      <c r="F173" s="408">
        <v>0.83</v>
      </c>
      <c r="G173" s="408">
        <v>0.17</v>
      </c>
      <c r="H173" s="415">
        <v>298.26069999999999</v>
      </c>
      <c r="I173" s="415">
        <v>89.097099999999998</v>
      </c>
      <c r="J173" s="415">
        <v>262.7029</v>
      </c>
    </row>
    <row r="174" spans="1:10" s="296" customFormat="1" ht="24" customHeight="1" x14ac:dyDescent="0.25">
      <c r="A174" s="404" t="s">
        <v>120</v>
      </c>
      <c r="B174" s="405" t="s">
        <v>179</v>
      </c>
      <c r="C174" s="404" t="s">
        <v>77</v>
      </c>
      <c r="D174" s="404" t="s">
        <v>180</v>
      </c>
      <c r="E174" s="407">
        <v>1</v>
      </c>
      <c r="F174" s="408">
        <v>0.62</v>
      </c>
      <c r="G174" s="408">
        <v>0.38</v>
      </c>
      <c r="H174" s="415">
        <v>4.8484999999999996</v>
      </c>
      <c r="I174" s="415">
        <v>3.3763999999999998</v>
      </c>
      <c r="J174" s="415">
        <v>4.2891000000000004</v>
      </c>
    </row>
    <row r="175" spans="1:10" s="296" customFormat="1" ht="24" customHeight="1" x14ac:dyDescent="0.25">
      <c r="A175" s="404" t="s">
        <v>120</v>
      </c>
      <c r="B175" s="405" t="s">
        <v>181</v>
      </c>
      <c r="C175" s="404" t="s">
        <v>77</v>
      </c>
      <c r="D175" s="404" t="s">
        <v>38</v>
      </c>
      <c r="E175" s="407">
        <v>1</v>
      </c>
      <c r="F175" s="408">
        <v>1</v>
      </c>
      <c r="G175" s="408">
        <v>0</v>
      </c>
      <c r="H175" s="415">
        <v>279.14210000000003</v>
      </c>
      <c r="I175" s="415">
        <v>130.55009999999999</v>
      </c>
      <c r="J175" s="415">
        <v>279.14210000000003</v>
      </c>
    </row>
    <row r="176" spans="1:10" s="296" customFormat="1" ht="26.1" customHeight="1" x14ac:dyDescent="0.25">
      <c r="A176" s="404" t="s">
        <v>120</v>
      </c>
      <c r="B176" s="405" t="s">
        <v>182</v>
      </c>
      <c r="C176" s="404" t="s">
        <v>77</v>
      </c>
      <c r="D176" s="404" t="s">
        <v>39</v>
      </c>
      <c r="E176" s="407">
        <v>1</v>
      </c>
      <c r="F176" s="408">
        <v>0.65</v>
      </c>
      <c r="G176" s="408">
        <v>0.35</v>
      </c>
      <c r="H176" s="415">
        <v>241.52109999999999</v>
      </c>
      <c r="I176" s="415">
        <v>125.0121</v>
      </c>
      <c r="J176" s="415">
        <v>200.74299999999999</v>
      </c>
    </row>
    <row r="177" spans="1:10" s="296" customFormat="1" ht="26.1" customHeight="1" x14ac:dyDescent="0.25">
      <c r="A177" s="404" t="s">
        <v>120</v>
      </c>
      <c r="B177" s="405" t="s">
        <v>183</v>
      </c>
      <c r="C177" s="404" t="s">
        <v>77</v>
      </c>
      <c r="D177" s="404" t="s">
        <v>40</v>
      </c>
      <c r="E177" s="407">
        <v>1</v>
      </c>
      <c r="F177" s="408">
        <v>0.67</v>
      </c>
      <c r="G177" s="408">
        <v>0.33</v>
      </c>
      <c r="H177" s="415">
        <v>199.6669</v>
      </c>
      <c r="I177" s="415">
        <v>96.510900000000007</v>
      </c>
      <c r="J177" s="415">
        <v>165.62540000000001</v>
      </c>
    </row>
    <row r="178" spans="1:10" s="296" customFormat="1" ht="24" customHeight="1" x14ac:dyDescent="0.25">
      <c r="A178" s="404" t="s">
        <v>120</v>
      </c>
      <c r="B178" s="405" t="s">
        <v>184</v>
      </c>
      <c r="C178" s="404" t="s">
        <v>77</v>
      </c>
      <c r="D178" s="404" t="s">
        <v>43</v>
      </c>
      <c r="E178" s="407">
        <v>1</v>
      </c>
      <c r="F178" s="408">
        <v>0.62</v>
      </c>
      <c r="G178" s="408">
        <v>0.38</v>
      </c>
      <c r="H178" s="415">
        <v>126.06010000000001</v>
      </c>
      <c r="I178" s="415">
        <v>50.948399999999999</v>
      </c>
      <c r="J178" s="415">
        <v>97.517700000000005</v>
      </c>
    </row>
    <row r="179" spans="1:10" s="296" customFormat="1" ht="20.100000000000001" customHeight="1" x14ac:dyDescent="0.25">
      <c r="A179" s="454"/>
      <c r="B179" s="454"/>
      <c r="C179" s="454"/>
      <c r="D179" s="454"/>
      <c r="E179" s="454"/>
      <c r="F179" s="454" t="s">
        <v>163</v>
      </c>
      <c r="G179" s="454"/>
      <c r="H179" s="454"/>
      <c r="I179" s="454"/>
      <c r="J179" s="416">
        <v>1010.0202</v>
      </c>
    </row>
    <row r="180" spans="1:10" s="296" customFormat="1" ht="20.100000000000001" customHeight="1" x14ac:dyDescent="0.25">
      <c r="A180" s="412" t="s">
        <v>164</v>
      </c>
      <c r="B180" s="413" t="s">
        <v>67</v>
      </c>
      <c r="C180" s="412" t="s">
        <v>68</v>
      </c>
      <c r="D180" s="412" t="s">
        <v>125</v>
      </c>
      <c r="E180" s="413" t="s">
        <v>157</v>
      </c>
      <c r="F180" s="456" t="s">
        <v>165</v>
      </c>
      <c r="G180" s="456"/>
      <c r="H180" s="456"/>
      <c r="I180" s="456"/>
      <c r="J180" s="413" t="s">
        <v>160</v>
      </c>
    </row>
    <row r="181" spans="1:10" s="296" customFormat="1" ht="24" customHeight="1" x14ac:dyDescent="0.25">
      <c r="A181" s="404" t="s">
        <v>120</v>
      </c>
      <c r="B181" s="405" t="s">
        <v>166</v>
      </c>
      <c r="C181" s="404" t="s">
        <v>77</v>
      </c>
      <c r="D181" s="404" t="s">
        <v>124</v>
      </c>
      <c r="E181" s="407">
        <v>1</v>
      </c>
      <c r="F181" s="404"/>
      <c r="G181" s="404"/>
      <c r="H181" s="404"/>
      <c r="I181" s="415">
        <v>21.6083</v>
      </c>
      <c r="J181" s="415">
        <v>21.6083</v>
      </c>
    </row>
    <row r="182" spans="1:10" s="296" customFormat="1" ht="20.100000000000001" customHeight="1" x14ac:dyDescent="0.25">
      <c r="A182" s="454"/>
      <c r="B182" s="454"/>
      <c r="C182" s="454"/>
      <c r="D182" s="454"/>
      <c r="E182" s="454"/>
      <c r="F182" s="454" t="s">
        <v>167</v>
      </c>
      <c r="G182" s="454"/>
      <c r="H182" s="454"/>
      <c r="I182" s="454"/>
      <c r="J182" s="416">
        <v>21.6083</v>
      </c>
    </row>
    <row r="183" spans="1:10" s="296" customFormat="1" ht="20.100000000000001" customHeight="1" x14ac:dyDescent="0.25">
      <c r="A183" s="454"/>
      <c r="B183" s="454"/>
      <c r="C183" s="454"/>
      <c r="D183" s="454"/>
      <c r="E183" s="454"/>
      <c r="F183" s="454" t="s">
        <v>168</v>
      </c>
      <c r="G183" s="454"/>
      <c r="H183" s="454"/>
      <c r="I183" s="454"/>
      <c r="J183" s="416">
        <v>0</v>
      </c>
    </row>
    <row r="184" spans="1:10" s="296" customFormat="1" ht="20.100000000000001" customHeight="1" x14ac:dyDescent="0.25">
      <c r="A184" s="454"/>
      <c r="B184" s="454"/>
      <c r="C184" s="454"/>
      <c r="D184" s="454"/>
      <c r="E184" s="454"/>
      <c r="F184" s="454" t="s">
        <v>169</v>
      </c>
      <c r="G184" s="454"/>
      <c r="H184" s="454"/>
      <c r="I184" s="454"/>
      <c r="J184" s="416">
        <v>1031.6285</v>
      </c>
    </row>
    <row r="185" spans="1:10" s="296" customFormat="1" ht="20.100000000000001" customHeight="1" x14ac:dyDescent="0.25">
      <c r="A185" s="454"/>
      <c r="B185" s="454"/>
      <c r="C185" s="454"/>
      <c r="D185" s="454"/>
      <c r="E185" s="454"/>
      <c r="F185" s="454" t="s">
        <v>170</v>
      </c>
      <c r="G185" s="454"/>
      <c r="H185" s="454"/>
      <c r="I185" s="454"/>
      <c r="J185" s="416">
        <v>1.43E-2</v>
      </c>
    </row>
    <row r="186" spans="1:10" s="296" customFormat="1" ht="20.100000000000001" customHeight="1" x14ac:dyDescent="0.25">
      <c r="A186" s="454"/>
      <c r="B186" s="454"/>
      <c r="C186" s="454"/>
      <c r="D186" s="454"/>
      <c r="E186" s="454"/>
      <c r="F186" s="454" t="s">
        <v>171</v>
      </c>
      <c r="G186" s="454"/>
      <c r="H186" s="454"/>
      <c r="I186" s="454"/>
      <c r="J186" s="416">
        <v>9.74E-2</v>
      </c>
    </row>
    <row r="187" spans="1:10" s="296" customFormat="1" ht="20.100000000000001" customHeight="1" x14ac:dyDescent="0.25">
      <c r="A187" s="454"/>
      <c r="B187" s="454"/>
      <c r="C187" s="454"/>
      <c r="D187" s="454"/>
      <c r="E187" s="454"/>
      <c r="F187" s="454" t="s">
        <v>172</v>
      </c>
      <c r="G187" s="454"/>
      <c r="H187" s="454"/>
      <c r="I187" s="454"/>
      <c r="J187" s="416">
        <v>150.88</v>
      </c>
    </row>
    <row r="188" spans="1:10" s="296" customFormat="1" ht="20.100000000000001" customHeight="1" x14ac:dyDescent="0.25">
      <c r="A188" s="454"/>
      <c r="B188" s="454"/>
      <c r="C188" s="454"/>
      <c r="D188" s="454"/>
      <c r="E188" s="454"/>
      <c r="F188" s="454" t="s">
        <v>173</v>
      </c>
      <c r="G188" s="454"/>
      <c r="H188" s="454"/>
      <c r="I188" s="454"/>
      <c r="J188" s="416">
        <v>6.8373999999999997</v>
      </c>
    </row>
    <row r="189" spans="1:10" s="296" customFormat="1" ht="20.100000000000001" customHeight="1" x14ac:dyDescent="0.25">
      <c r="A189" s="412" t="s">
        <v>185</v>
      </c>
      <c r="B189" s="413" t="s">
        <v>68</v>
      </c>
      <c r="C189" s="412" t="s">
        <v>67</v>
      </c>
      <c r="D189" s="412" t="s">
        <v>186</v>
      </c>
      <c r="E189" s="413" t="s">
        <v>157</v>
      </c>
      <c r="F189" s="413" t="s">
        <v>187</v>
      </c>
      <c r="G189" s="456" t="s">
        <v>188</v>
      </c>
      <c r="H189" s="456"/>
      <c r="I189" s="456"/>
      <c r="J189" s="413" t="s">
        <v>160</v>
      </c>
    </row>
    <row r="190" spans="1:10" s="296" customFormat="1" ht="26.1" customHeight="1" x14ac:dyDescent="0.25">
      <c r="A190" s="399" t="s">
        <v>189</v>
      </c>
      <c r="B190" s="400" t="s">
        <v>77</v>
      </c>
      <c r="C190" s="399">
        <v>4016096</v>
      </c>
      <c r="D190" s="399" t="s">
        <v>190</v>
      </c>
      <c r="E190" s="402">
        <v>1.1002700000000001</v>
      </c>
      <c r="F190" s="401" t="s">
        <v>14</v>
      </c>
      <c r="G190" s="462">
        <v>1.44</v>
      </c>
      <c r="H190" s="462"/>
      <c r="I190" s="463"/>
      <c r="J190" s="417">
        <v>1.5844</v>
      </c>
    </row>
    <row r="191" spans="1:10" s="296" customFormat="1" ht="20.100000000000001" customHeight="1" x14ac:dyDescent="0.25">
      <c r="A191" s="454"/>
      <c r="B191" s="454"/>
      <c r="C191" s="454"/>
      <c r="D191" s="454"/>
      <c r="E191" s="454"/>
      <c r="F191" s="454" t="s">
        <v>191</v>
      </c>
      <c r="G191" s="454"/>
      <c r="H191" s="454"/>
      <c r="I191" s="454"/>
      <c r="J191" s="416">
        <v>1.5844</v>
      </c>
    </row>
    <row r="192" spans="1:10" s="296" customFormat="1" ht="20.100000000000001" customHeight="1" x14ac:dyDescent="0.25">
      <c r="A192" s="412" t="s">
        <v>192</v>
      </c>
      <c r="B192" s="413" t="s">
        <v>68</v>
      </c>
      <c r="C192" s="412" t="s">
        <v>120</v>
      </c>
      <c r="D192" s="412" t="s">
        <v>193</v>
      </c>
      <c r="E192" s="413" t="s">
        <v>67</v>
      </c>
      <c r="F192" s="413" t="s">
        <v>157</v>
      </c>
      <c r="G192" s="414" t="s">
        <v>187</v>
      </c>
      <c r="H192" s="456" t="s">
        <v>188</v>
      </c>
      <c r="I192" s="456"/>
      <c r="J192" s="413" t="s">
        <v>160</v>
      </c>
    </row>
    <row r="193" spans="1:10" s="296" customFormat="1" ht="39" customHeight="1" x14ac:dyDescent="0.25">
      <c r="A193" s="399" t="s">
        <v>194</v>
      </c>
      <c r="B193" s="400" t="s">
        <v>77</v>
      </c>
      <c r="C193" s="399">
        <v>4016096</v>
      </c>
      <c r="D193" s="399" t="s">
        <v>195</v>
      </c>
      <c r="E193" s="400">
        <v>5914354</v>
      </c>
      <c r="F193" s="402">
        <v>2.0630099999999998</v>
      </c>
      <c r="G193" s="401" t="s">
        <v>22</v>
      </c>
      <c r="H193" s="462">
        <v>1.68</v>
      </c>
      <c r="I193" s="463"/>
      <c r="J193" s="417">
        <v>3.4659</v>
      </c>
    </row>
    <row r="194" spans="1:10" s="296" customFormat="1" ht="20.100000000000001" customHeight="1" x14ac:dyDescent="0.25">
      <c r="A194" s="454"/>
      <c r="B194" s="454"/>
      <c r="C194" s="454"/>
      <c r="D194" s="454"/>
      <c r="E194" s="454"/>
      <c r="F194" s="454" t="s">
        <v>196</v>
      </c>
      <c r="G194" s="454"/>
      <c r="H194" s="454"/>
      <c r="I194" s="454"/>
      <c r="J194" s="416">
        <v>3.4659</v>
      </c>
    </row>
    <row r="195" spans="1:10" s="296" customFormat="1" ht="15" x14ac:dyDescent="0.25">
      <c r="A195" s="409"/>
      <c r="B195" s="409"/>
      <c r="C195" s="409"/>
      <c r="D195" s="409"/>
      <c r="E195" s="409"/>
      <c r="F195" s="410"/>
      <c r="G195" s="409"/>
      <c r="H195" s="410"/>
      <c r="I195" s="409"/>
      <c r="J195" s="410"/>
    </row>
    <row r="196" spans="1:10" s="296" customFormat="1" ht="15.75" thickBot="1" x14ac:dyDescent="0.3">
      <c r="A196" s="409"/>
      <c r="B196" s="409"/>
      <c r="C196" s="409"/>
      <c r="D196" s="409"/>
      <c r="E196" s="409" t="s">
        <v>116</v>
      </c>
      <c r="F196" s="410">
        <v>2.8</v>
      </c>
      <c r="G196" s="409"/>
      <c r="H196" s="455" t="s">
        <v>117</v>
      </c>
      <c r="I196" s="455"/>
      <c r="J196" s="410">
        <v>14.79</v>
      </c>
    </row>
    <row r="197" spans="1:10" s="296" customFormat="1" ht="0.95" customHeight="1" thickTop="1" x14ac:dyDescent="0.25">
      <c r="A197" s="411"/>
      <c r="B197" s="411"/>
      <c r="C197" s="411"/>
      <c r="D197" s="411"/>
      <c r="E197" s="411"/>
      <c r="F197" s="411"/>
      <c r="G197" s="411"/>
      <c r="H197" s="411"/>
      <c r="I197" s="411"/>
      <c r="J197" s="411"/>
    </row>
    <row r="198" spans="1:10" s="296" customFormat="1" ht="18" customHeight="1" x14ac:dyDescent="0.25">
      <c r="A198" s="412" t="s">
        <v>663</v>
      </c>
      <c r="B198" s="413" t="s">
        <v>67</v>
      </c>
      <c r="C198" s="412" t="s">
        <v>68</v>
      </c>
      <c r="D198" s="412" t="s">
        <v>1</v>
      </c>
      <c r="E198" s="457" t="s">
        <v>110</v>
      </c>
      <c r="F198" s="457"/>
      <c r="G198" s="414" t="s">
        <v>2</v>
      </c>
      <c r="H198" s="413" t="s">
        <v>3</v>
      </c>
      <c r="I198" s="413" t="s">
        <v>69</v>
      </c>
      <c r="J198" s="413" t="s">
        <v>45</v>
      </c>
    </row>
    <row r="199" spans="1:10" s="296" customFormat="1" ht="39" customHeight="1" x14ac:dyDescent="0.25">
      <c r="A199" s="394" t="s">
        <v>111</v>
      </c>
      <c r="B199" s="395" t="s">
        <v>531</v>
      </c>
      <c r="C199" s="394" t="s">
        <v>77</v>
      </c>
      <c r="D199" s="394" t="s">
        <v>512</v>
      </c>
      <c r="E199" s="458" t="s">
        <v>94</v>
      </c>
      <c r="F199" s="458"/>
      <c r="G199" s="396" t="s">
        <v>14</v>
      </c>
      <c r="H199" s="397">
        <v>1</v>
      </c>
      <c r="I199" s="398">
        <v>66.38</v>
      </c>
      <c r="J199" s="398">
        <v>66.38</v>
      </c>
    </row>
    <row r="200" spans="1:10" s="296" customFormat="1" ht="15" customHeight="1" x14ac:dyDescent="0.25">
      <c r="A200" s="457" t="s">
        <v>155</v>
      </c>
      <c r="B200" s="456" t="s">
        <v>67</v>
      </c>
      <c r="C200" s="457" t="s">
        <v>68</v>
      </c>
      <c r="D200" s="457" t="s">
        <v>156</v>
      </c>
      <c r="E200" s="456" t="s">
        <v>157</v>
      </c>
      <c r="F200" s="459" t="s">
        <v>158</v>
      </c>
      <c r="G200" s="456"/>
      <c r="H200" s="459" t="s">
        <v>159</v>
      </c>
      <c r="I200" s="456"/>
      <c r="J200" s="456" t="s">
        <v>160</v>
      </c>
    </row>
    <row r="201" spans="1:10" s="296" customFormat="1" ht="15" customHeight="1" x14ac:dyDescent="0.25">
      <c r="A201" s="456"/>
      <c r="B201" s="456"/>
      <c r="C201" s="456"/>
      <c r="D201" s="456"/>
      <c r="E201" s="456"/>
      <c r="F201" s="413" t="s">
        <v>161</v>
      </c>
      <c r="G201" s="413" t="s">
        <v>162</v>
      </c>
      <c r="H201" s="413" t="s">
        <v>161</v>
      </c>
      <c r="I201" s="413" t="s">
        <v>162</v>
      </c>
      <c r="J201" s="456"/>
    </row>
    <row r="202" spans="1:10" s="296" customFormat="1" ht="26.1" customHeight="1" x14ac:dyDescent="0.25">
      <c r="A202" s="404" t="s">
        <v>120</v>
      </c>
      <c r="B202" s="405" t="s">
        <v>177</v>
      </c>
      <c r="C202" s="404" t="s">
        <v>77</v>
      </c>
      <c r="D202" s="404" t="s">
        <v>178</v>
      </c>
      <c r="E202" s="407">
        <v>1</v>
      </c>
      <c r="F202" s="408">
        <v>0.83</v>
      </c>
      <c r="G202" s="408">
        <v>0.17</v>
      </c>
      <c r="H202" s="415">
        <v>298.26069999999999</v>
      </c>
      <c r="I202" s="415">
        <v>89.097099999999998</v>
      </c>
      <c r="J202" s="415">
        <v>262.7029</v>
      </c>
    </row>
    <row r="203" spans="1:10" s="296" customFormat="1" ht="24" customHeight="1" x14ac:dyDescent="0.25">
      <c r="A203" s="404" t="s">
        <v>120</v>
      </c>
      <c r="B203" s="405" t="s">
        <v>179</v>
      </c>
      <c r="C203" s="404" t="s">
        <v>77</v>
      </c>
      <c r="D203" s="404" t="s">
        <v>180</v>
      </c>
      <c r="E203" s="407">
        <v>1</v>
      </c>
      <c r="F203" s="408">
        <v>0.62</v>
      </c>
      <c r="G203" s="408">
        <v>0.38</v>
      </c>
      <c r="H203" s="415">
        <v>4.8484999999999996</v>
      </c>
      <c r="I203" s="415">
        <v>3.3763999999999998</v>
      </c>
      <c r="J203" s="415">
        <v>4.2891000000000004</v>
      </c>
    </row>
    <row r="204" spans="1:10" s="296" customFormat="1" ht="24" customHeight="1" x14ac:dyDescent="0.25">
      <c r="A204" s="404" t="s">
        <v>120</v>
      </c>
      <c r="B204" s="405" t="s">
        <v>181</v>
      </c>
      <c r="C204" s="404" t="s">
        <v>77</v>
      </c>
      <c r="D204" s="404" t="s">
        <v>38</v>
      </c>
      <c r="E204" s="407">
        <v>1</v>
      </c>
      <c r="F204" s="408">
        <v>1</v>
      </c>
      <c r="G204" s="408">
        <v>0</v>
      </c>
      <c r="H204" s="415">
        <v>279.14210000000003</v>
      </c>
      <c r="I204" s="415">
        <v>130.55009999999999</v>
      </c>
      <c r="J204" s="415">
        <v>279.14210000000003</v>
      </c>
    </row>
    <row r="205" spans="1:10" s="296" customFormat="1" ht="26.1" customHeight="1" x14ac:dyDescent="0.25">
      <c r="A205" s="404" t="s">
        <v>120</v>
      </c>
      <c r="B205" s="405" t="s">
        <v>182</v>
      </c>
      <c r="C205" s="404" t="s">
        <v>77</v>
      </c>
      <c r="D205" s="404" t="s">
        <v>39</v>
      </c>
      <c r="E205" s="407">
        <v>1</v>
      </c>
      <c r="F205" s="408">
        <v>0.86</v>
      </c>
      <c r="G205" s="408">
        <v>0.14000000000000001</v>
      </c>
      <c r="H205" s="415">
        <v>241.52109999999999</v>
      </c>
      <c r="I205" s="415">
        <v>125.0121</v>
      </c>
      <c r="J205" s="415">
        <v>225.2098</v>
      </c>
    </row>
    <row r="206" spans="1:10" s="296" customFormat="1" ht="26.1" customHeight="1" x14ac:dyDescent="0.25">
      <c r="A206" s="404" t="s">
        <v>120</v>
      </c>
      <c r="B206" s="405" t="s">
        <v>183</v>
      </c>
      <c r="C206" s="404" t="s">
        <v>77</v>
      </c>
      <c r="D206" s="404" t="s">
        <v>40</v>
      </c>
      <c r="E206" s="407">
        <v>1</v>
      </c>
      <c r="F206" s="408">
        <v>0.9</v>
      </c>
      <c r="G206" s="408">
        <v>0.1</v>
      </c>
      <c r="H206" s="415">
        <v>199.6669</v>
      </c>
      <c r="I206" s="415">
        <v>96.510900000000007</v>
      </c>
      <c r="J206" s="415">
        <v>189.35130000000001</v>
      </c>
    </row>
    <row r="207" spans="1:10" s="296" customFormat="1" ht="24" customHeight="1" x14ac:dyDescent="0.25">
      <c r="A207" s="404" t="s">
        <v>120</v>
      </c>
      <c r="B207" s="405" t="s">
        <v>184</v>
      </c>
      <c r="C207" s="404" t="s">
        <v>77</v>
      </c>
      <c r="D207" s="404" t="s">
        <v>43</v>
      </c>
      <c r="E207" s="407">
        <v>1</v>
      </c>
      <c r="F207" s="408">
        <v>0.62</v>
      </c>
      <c r="G207" s="408">
        <v>0.38</v>
      </c>
      <c r="H207" s="415">
        <v>126.06010000000001</v>
      </c>
      <c r="I207" s="415">
        <v>50.948399999999999</v>
      </c>
      <c r="J207" s="415">
        <v>97.517700000000005</v>
      </c>
    </row>
    <row r="208" spans="1:10" s="296" customFormat="1" ht="20.100000000000001" customHeight="1" x14ac:dyDescent="0.25">
      <c r="A208" s="454"/>
      <c r="B208" s="454"/>
      <c r="C208" s="454"/>
      <c r="D208" s="454"/>
      <c r="E208" s="454"/>
      <c r="F208" s="454" t="s">
        <v>163</v>
      </c>
      <c r="G208" s="454"/>
      <c r="H208" s="454"/>
      <c r="I208" s="454"/>
      <c r="J208" s="416">
        <v>1058.2129</v>
      </c>
    </row>
    <row r="209" spans="1:10" s="296" customFormat="1" ht="20.100000000000001" customHeight="1" x14ac:dyDescent="0.25">
      <c r="A209" s="412" t="s">
        <v>164</v>
      </c>
      <c r="B209" s="413" t="s">
        <v>67</v>
      </c>
      <c r="C209" s="412" t="s">
        <v>68</v>
      </c>
      <c r="D209" s="412" t="s">
        <v>125</v>
      </c>
      <c r="E209" s="413" t="s">
        <v>157</v>
      </c>
      <c r="F209" s="456" t="s">
        <v>165</v>
      </c>
      <c r="G209" s="456"/>
      <c r="H209" s="456"/>
      <c r="I209" s="456"/>
      <c r="J209" s="413" t="s">
        <v>160</v>
      </c>
    </row>
    <row r="210" spans="1:10" s="296" customFormat="1" ht="24" customHeight="1" x14ac:dyDescent="0.25">
      <c r="A210" s="404" t="s">
        <v>120</v>
      </c>
      <c r="B210" s="405" t="s">
        <v>166</v>
      </c>
      <c r="C210" s="404" t="s">
        <v>77</v>
      </c>
      <c r="D210" s="404" t="s">
        <v>124</v>
      </c>
      <c r="E210" s="407">
        <v>1</v>
      </c>
      <c r="F210" s="404"/>
      <c r="G210" s="404"/>
      <c r="H210" s="404"/>
      <c r="I210" s="415">
        <v>21.6083</v>
      </c>
      <c r="J210" s="415">
        <v>21.6083</v>
      </c>
    </row>
    <row r="211" spans="1:10" s="296" customFormat="1" ht="20.100000000000001" customHeight="1" x14ac:dyDescent="0.25">
      <c r="A211" s="454"/>
      <c r="B211" s="454"/>
      <c r="C211" s="454"/>
      <c r="D211" s="454"/>
      <c r="E211" s="454"/>
      <c r="F211" s="454" t="s">
        <v>167</v>
      </c>
      <c r="G211" s="454"/>
      <c r="H211" s="454"/>
      <c r="I211" s="454"/>
      <c r="J211" s="416">
        <v>21.6083</v>
      </c>
    </row>
    <row r="212" spans="1:10" s="296" customFormat="1" ht="20.100000000000001" customHeight="1" x14ac:dyDescent="0.25">
      <c r="A212" s="454"/>
      <c r="B212" s="454"/>
      <c r="C212" s="454"/>
      <c r="D212" s="454"/>
      <c r="E212" s="454"/>
      <c r="F212" s="454" t="s">
        <v>168</v>
      </c>
      <c r="G212" s="454"/>
      <c r="H212" s="454"/>
      <c r="I212" s="454"/>
      <c r="J212" s="416">
        <v>0</v>
      </c>
    </row>
    <row r="213" spans="1:10" s="296" customFormat="1" ht="20.100000000000001" customHeight="1" x14ac:dyDescent="0.25">
      <c r="A213" s="454"/>
      <c r="B213" s="454"/>
      <c r="C213" s="454"/>
      <c r="D213" s="454"/>
      <c r="E213" s="454"/>
      <c r="F213" s="454" t="s">
        <v>169</v>
      </c>
      <c r="G213" s="454"/>
      <c r="H213" s="454"/>
      <c r="I213" s="454"/>
      <c r="J213" s="416">
        <v>1079.8212000000001</v>
      </c>
    </row>
    <row r="214" spans="1:10" s="296" customFormat="1" ht="20.100000000000001" customHeight="1" x14ac:dyDescent="0.25">
      <c r="A214" s="454"/>
      <c r="B214" s="454"/>
      <c r="C214" s="454"/>
      <c r="D214" s="454"/>
      <c r="E214" s="454"/>
      <c r="F214" s="454" t="s">
        <v>170</v>
      </c>
      <c r="G214" s="454"/>
      <c r="H214" s="454"/>
      <c r="I214" s="454"/>
      <c r="J214" s="416">
        <v>1.43E-2</v>
      </c>
    </row>
    <row r="215" spans="1:10" s="296" customFormat="1" ht="20.100000000000001" customHeight="1" x14ac:dyDescent="0.25">
      <c r="A215" s="454"/>
      <c r="B215" s="454"/>
      <c r="C215" s="454"/>
      <c r="D215" s="454"/>
      <c r="E215" s="454"/>
      <c r="F215" s="454" t="s">
        <v>171</v>
      </c>
      <c r="G215" s="454"/>
      <c r="H215" s="454"/>
      <c r="I215" s="454"/>
      <c r="J215" s="416">
        <v>0.10199999999999999</v>
      </c>
    </row>
    <row r="216" spans="1:10" s="296" customFormat="1" ht="20.100000000000001" customHeight="1" x14ac:dyDescent="0.25">
      <c r="A216" s="454"/>
      <c r="B216" s="454"/>
      <c r="C216" s="454"/>
      <c r="D216" s="454"/>
      <c r="E216" s="454"/>
      <c r="F216" s="454" t="s">
        <v>172</v>
      </c>
      <c r="G216" s="454"/>
      <c r="H216" s="454"/>
      <c r="I216" s="454"/>
      <c r="J216" s="416">
        <v>150.88</v>
      </c>
    </row>
    <row r="217" spans="1:10" s="296" customFormat="1" ht="20.100000000000001" customHeight="1" x14ac:dyDescent="0.25">
      <c r="A217" s="454"/>
      <c r="B217" s="454"/>
      <c r="C217" s="454"/>
      <c r="D217" s="454"/>
      <c r="E217" s="454"/>
      <c r="F217" s="454" t="s">
        <v>173</v>
      </c>
      <c r="G217" s="454"/>
      <c r="H217" s="454"/>
      <c r="I217" s="454"/>
      <c r="J217" s="416">
        <v>7.1567999999999996</v>
      </c>
    </row>
    <row r="218" spans="1:10" s="296" customFormat="1" ht="20.100000000000001" customHeight="1" x14ac:dyDescent="0.25">
      <c r="A218" s="412" t="s">
        <v>210</v>
      </c>
      <c r="B218" s="413" t="s">
        <v>68</v>
      </c>
      <c r="C218" s="412" t="s">
        <v>67</v>
      </c>
      <c r="D218" s="412" t="s">
        <v>54</v>
      </c>
      <c r="E218" s="413" t="s">
        <v>157</v>
      </c>
      <c r="F218" s="413" t="s">
        <v>187</v>
      </c>
      <c r="G218" s="456" t="s">
        <v>188</v>
      </c>
      <c r="H218" s="456"/>
      <c r="I218" s="456"/>
      <c r="J218" s="413" t="s">
        <v>160</v>
      </c>
    </row>
    <row r="219" spans="1:10" s="296" customFormat="1" ht="24" customHeight="1" x14ac:dyDescent="0.25">
      <c r="A219" s="404" t="s">
        <v>120</v>
      </c>
      <c r="B219" s="405" t="s">
        <v>77</v>
      </c>
      <c r="C219" s="404" t="s">
        <v>213</v>
      </c>
      <c r="D219" s="404" t="s">
        <v>214</v>
      </c>
      <c r="E219" s="407">
        <v>0.41260000000000002</v>
      </c>
      <c r="F219" s="406" t="s">
        <v>14</v>
      </c>
      <c r="G219" s="461">
        <v>132.30690000000001</v>
      </c>
      <c r="H219" s="461"/>
      <c r="I219" s="460"/>
      <c r="J219" s="415">
        <v>54.589799999999997</v>
      </c>
    </row>
    <row r="220" spans="1:10" s="296" customFormat="1" ht="20.100000000000001" customHeight="1" x14ac:dyDescent="0.25">
      <c r="A220" s="454"/>
      <c r="B220" s="454"/>
      <c r="C220" s="454"/>
      <c r="D220" s="454"/>
      <c r="E220" s="454"/>
      <c r="F220" s="454" t="s">
        <v>215</v>
      </c>
      <c r="G220" s="454"/>
      <c r="H220" s="454"/>
      <c r="I220" s="454"/>
      <c r="J220" s="416">
        <v>54.589799999999997</v>
      </c>
    </row>
    <row r="221" spans="1:10" s="296" customFormat="1" ht="20.100000000000001" customHeight="1" x14ac:dyDescent="0.25">
      <c r="A221" s="412" t="s">
        <v>185</v>
      </c>
      <c r="B221" s="413" t="s">
        <v>68</v>
      </c>
      <c r="C221" s="412" t="s">
        <v>67</v>
      </c>
      <c r="D221" s="412" t="s">
        <v>186</v>
      </c>
      <c r="E221" s="413" t="s">
        <v>157</v>
      </c>
      <c r="F221" s="413" t="s">
        <v>187</v>
      </c>
      <c r="G221" s="456" t="s">
        <v>188</v>
      </c>
      <c r="H221" s="456"/>
      <c r="I221" s="456"/>
      <c r="J221" s="413" t="s">
        <v>160</v>
      </c>
    </row>
    <row r="222" spans="1:10" s="296" customFormat="1" ht="26.1" customHeight="1" x14ac:dyDescent="0.25">
      <c r="A222" s="399" t="s">
        <v>189</v>
      </c>
      <c r="B222" s="400" t="s">
        <v>77</v>
      </c>
      <c r="C222" s="399">
        <v>4016096</v>
      </c>
      <c r="D222" s="399" t="s">
        <v>190</v>
      </c>
      <c r="E222" s="402">
        <v>0.77019000000000004</v>
      </c>
      <c r="F222" s="401" t="s">
        <v>14</v>
      </c>
      <c r="G222" s="462">
        <v>1.44</v>
      </c>
      <c r="H222" s="462"/>
      <c r="I222" s="463"/>
      <c r="J222" s="417">
        <v>1.1091</v>
      </c>
    </row>
    <row r="223" spans="1:10" s="296" customFormat="1" ht="20.100000000000001" customHeight="1" x14ac:dyDescent="0.25">
      <c r="A223" s="454"/>
      <c r="B223" s="454"/>
      <c r="C223" s="454"/>
      <c r="D223" s="454"/>
      <c r="E223" s="454"/>
      <c r="F223" s="454" t="s">
        <v>191</v>
      </c>
      <c r="G223" s="454"/>
      <c r="H223" s="454"/>
      <c r="I223" s="454"/>
      <c r="J223" s="416">
        <v>1.1091</v>
      </c>
    </row>
    <row r="224" spans="1:10" s="296" customFormat="1" ht="20.100000000000001" customHeight="1" x14ac:dyDescent="0.25">
      <c r="A224" s="412" t="s">
        <v>192</v>
      </c>
      <c r="B224" s="413" t="s">
        <v>68</v>
      </c>
      <c r="C224" s="412" t="s">
        <v>120</v>
      </c>
      <c r="D224" s="412" t="s">
        <v>193</v>
      </c>
      <c r="E224" s="413" t="s">
        <v>67</v>
      </c>
      <c r="F224" s="413" t="s">
        <v>157</v>
      </c>
      <c r="G224" s="414" t="s">
        <v>187</v>
      </c>
      <c r="H224" s="456" t="s">
        <v>188</v>
      </c>
      <c r="I224" s="456"/>
      <c r="J224" s="413" t="s">
        <v>160</v>
      </c>
    </row>
    <row r="225" spans="1:10" s="296" customFormat="1" ht="39" customHeight="1" x14ac:dyDescent="0.25">
      <c r="A225" s="399" t="s">
        <v>194</v>
      </c>
      <c r="B225" s="400" t="s">
        <v>77</v>
      </c>
      <c r="C225" s="399">
        <v>4016096</v>
      </c>
      <c r="D225" s="399" t="s">
        <v>195</v>
      </c>
      <c r="E225" s="400">
        <v>5914354</v>
      </c>
      <c r="F225" s="402">
        <v>1.44411</v>
      </c>
      <c r="G225" s="401" t="s">
        <v>22</v>
      </c>
      <c r="H225" s="462">
        <v>1.68</v>
      </c>
      <c r="I225" s="463"/>
      <c r="J225" s="417">
        <v>2.4260999999999999</v>
      </c>
    </row>
    <row r="226" spans="1:10" s="296" customFormat="1" ht="39" customHeight="1" x14ac:dyDescent="0.25">
      <c r="A226" s="399" t="s">
        <v>194</v>
      </c>
      <c r="B226" s="400" t="s">
        <v>77</v>
      </c>
      <c r="C226" s="399" t="s">
        <v>213</v>
      </c>
      <c r="D226" s="399" t="s">
        <v>343</v>
      </c>
      <c r="E226" s="400">
        <v>5914647</v>
      </c>
      <c r="F226" s="402">
        <v>0.61890000000000001</v>
      </c>
      <c r="G226" s="401" t="s">
        <v>22</v>
      </c>
      <c r="H226" s="462">
        <v>1.61</v>
      </c>
      <c r="I226" s="463"/>
      <c r="J226" s="417">
        <v>0.99639999999999995</v>
      </c>
    </row>
    <row r="227" spans="1:10" s="296" customFormat="1" ht="20.100000000000001" customHeight="1" x14ac:dyDescent="0.25">
      <c r="A227" s="454"/>
      <c r="B227" s="454"/>
      <c r="C227" s="454"/>
      <c r="D227" s="454"/>
      <c r="E227" s="454"/>
      <c r="F227" s="454" t="s">
        <v>196</v>
      </c>
      <c r="G227" s="454"/>
      <c r="H227" s="454"/>
      <c r="I227" s="454"/>
      <c r="J227" s="416">
        <v>3.4224999999999999</v>
      </c>
    </row>
    <row r="228" spans="1:10" s="296" customFormat="1" ht="15" x14ac:dyDescent="0.25">
      <c r="A228" s="409"/>
      <c r="B228" s="409"/>
      <c r="C228" s="409"/>
      <c r="D228" s="409"/>
      <c r="E228" s="409"/>
      <c r="F228" s="410"/>
      <c r="G228" s="409"/>
      <c r="H228" s="410"/>
      <c r="I228" s="409"/>
      <c r="J228" s="410"/>
    </row>
    <row r="229" spans="1:10" s="296" customFormat="1" ht="15.75" thickBot="1" x14ac:dyDescent="0.3">
      <c r="A229" s="409"/>
      <c r="B229" s="409"/>
      <c r="C229" s="409"/>
      <c r="D229" s="409"/>
      <c r="E229" s="409" t="s">
        <v>116</v>
      </c>
      <c r="F229" s="410">
        <v>15.52</v>
      </c>
      <c r="G229" s="409"/>
      <c r="H229" s="455" t="s">
        <v>117</v>
      </c>
      <c r="I229" s="455"/>
      <c r="J229" s="410">
        <v>81.900000000000006</v>
      </c>
    </row>
    <row r="230" spans="1:10" s="296" customFormat="1" ht="0.95" customHeight="1" thickTop="1" x14ac:dyDescent="0.25">
      <c r="A230" s="411"/>
      <c r="B230" s="411"/>
      <c r="C230" s="411"/>
      <c r="D230" s="411"/>
      <c r="E230" s="411"/>
      <c r="F230" s="411"/>
      <c r="G230" s="411"/>
      <c r="H230" s="411"/>
      <c r="I230" s="411"/>
      <c r="J230" s="411"/>
    </row>
    <row r="231" spans="1:10" s="296" customFormat="1" ht="18" customHeight="1" x14ac:dyDescent="0.25">
      <c r="A231" s="412" t="s">
        <v>664</v>
      </c>
      <c r="B231" s="413" t="s">
        <v>67</v>
      </c>
      <c r="C231" s="412" t="s">
        <v>68</v>
      </c>
      <c r="D231" s="412" t="s">
        <v>1</v>
      </c>
      <c r="E231" s="457" t="s">
        <v>110</v>
      </c>
      <c r="F231" s="457"/>
      <c r="G231" s="414" t="s">
        <v>2</v>
      </c>
      <c r="H231" s="413" t="s">
        <v>3</v>
      </c>
      <c r="I231" s="413" t="s">
        <v>69</v>
      </c>
      <c r="J231" s="413" t="s">
        <v>45</v>
      </c>
    </row>
    <row r="232" spans="1:10" s="296" customFormat="1" ht="26.1" customHeight="1" x14ac:dyDescent="0.25">
      <c r="A232" s="394" t="s">
        <v>111</v>
      </c>
      <c r="B232" s="395" t="s">
        <v>80</v>
      </c>
      <c r="C232" s="394" t="s">
        <v>71</v>
      </c>
      <c r="D232" s="394" t="s">
        <v>63</v>
      </c>
      <c r="E232" s="458" t="s">
        <v>197</v>
      </c>
      <c r="F232" s="458"/>
      <c r="G232" s="396" t="s">
        <v>642</v>
      </c>
      <c r="H232" s="397">
        <v>1</v>
      </c>
      <c r="I232" s="398"/>
      <c r="J232" s="398">
        <f>SUM(J233)</f>
        <v>5310</v>
      </c>
    </row>
    <row r="233" spans="1:10" s="296" customFormat="1" ht="26.1" customHeight="1" x14ac:dyDescent="0.25">
      <c r="A233" s="404" t="s">
        <v>120</v>
      </c>
      <c r="B233" s="405" t="s">
        <v>80</v>
      </c>
      <c r="C233" s="404" t="s">
        <v>71</v>
      </c>
      <c r="D233" s="404" t="s">
        <v>63</v>
      </c>
      <c r="E233" s="460" t="s">
        <v>54</v>
      </c>
      <c r="F233" s="460"/>
      <c r="G233" s="406" t="s">
        <v>642</v>
      </c>
      <c r="H233" s="407">
        <v>1</v>
      </c>
      <c r="I233" s="408">
        <f>'Mat. Betuminoso'!F14</f>
        <v>5310</v>
      </c>
      <c r="J233" s="408">
        <f>I233*H233</f>
        <v>5310</v>
      </c>
    </row>
    <row r="234" spans="1:10" s="296" customFormat="1" ht="15" x14ac:dyDescent="0.25">
      <c r="A234" s="409"/>
      <c r="B234" s="409"/>
      <c r="C234" s="409"/>
      <c r="D234" s="409"/>
      <c r="E234" s="409"/>
      <c r="F234" s="410"/>
      <c r="G234" s="409"/>
      <c r="H234" s="410"/>
      <c r="I234" s="409"/>
      <c r="J234" s="410"/>
    </row>
    <row r="235" spans="1:10" s="296" customFormat="1" ht="15.75" thickBot="1" x14ac:dyDescent="0.3">
      <c r="A235" s="409"/>
      <c r="B235" s="409"/>
      <c r="C235" s="409"/>
      <c r="D235" s="409"/>
      <c r="E235" s="409" t="s">
        <v>116</v>
      </c>
      <c r="F235" s="410">
        <f>TRUNC(J232*H2,2)</f>
        <v>796.5</v>
      </c>
      <c r="G235" s="409"/>
      <c r="H235" s="455" t="s">
        <v>117</v>
      </c>
      <c r="I235" s="455"/>
      <c r="J235" s="410">
        <f>F235+J232</f>
        <v>6106.5</v>
      </c>
    </row>
    <row r="236" spans="1:10" s="296" customFormat="1" ht="0.95" customHeight="1" thickTop="1" x14ac:dyDescent="0.25">
      <c r="A236" s="411"/>
      <c r="B236" s="411"/>
      <c r="C236" s="411"/>
      <c r="D236" s="411"/>
      <c r="E236" s="411"/>
      <c r="F236" s="411"/>
      <c r="G236" s="411"/>
      <c r="H236" s="411"/>
      <c r="I236" s="411"/>
      <c r="J236" s="411"/>
    </row>
    <row r="237" spans="1:10" s="296" customFormat="1" ht="18" customHeight="1" x14ac:dyDescent="0.25">
      <c r="A237" s="412" t="s">
        <v>665</v>
      </c>
      <c r="B237" s="413" t="s">
        <v>67</v>
      </c>
      <c r="C237" s="412" t="s">
        <v>68</v>
      </c>
      <c r="D237" s="412" t="s">
        <v>1</v>
      </c>
      <c r="E237" s="457" t="s">
        <v>110</v>
      </c>
      <c r="F237" s="457"/>
      <c r="G237" s="414" t="s">
        <v>2</v>
      </c>
      <c r="H237" s="413" t="s">
        <v>3</v>
      </c>
      <c r="I237" s="413" t="s">
        <v>69</v>
      </c>
      <c r="J237" s="413" t="s">
        <v>45</v>
      </c>
    </row>
    <row r="238" spans="1:10" s="296" customFormat="1" ht="26.1" customHeight="1" x14ac:dyDescent="0.25">
      <c r="A238" s="394" t="s">
        <v>111</v>
      </c>
      <c r="B238" s="395" t="s">
        <v>81</v>
      </c>
      <c r="C238" s="394" t="s">
        <v>71</v>
      </c>
      <c r="D238" s="394" t="s">
        <v>64</v>
      </c>
      <c r="E238" s="458" t="s">
        <v>197</v>
      </c>
      <c r="F238" s="458"/>
      <c r="G238" s="396" t="s">
        <v>642</v>
      </c>
      <c r="H238" s="397">
        <v>1</v>
      </c>
      <c r="I238" s="398"/>
      <c r="J238" s="398">
        <f>SUM(J239)</f>
        <v>3420</v>
      </c>
    </row>
    <row r="239" spans="1:10" s="296" customFormat="1" ht="26.1" customHeight="1" x14ac:dyDescent="0.25">
      <c r="A239" s="404" t="s">
        <v>120</v>
      </c>
      <c r="B239" s="405" t="s">
        <v>81</v>
      </c>
      <c r="C239" s="404" t="s">
        <v>71</v>
      </c>
      <c r="D239" s="404" t="s">
        <v>64</v>
      </c>
      <c r="E239" s="460" t="s">
        <v>54</v>
      </c>
      <c r="F239" s="460"/>
      <c r="G239" s="406" t="s">
        <v>642</v>
      </c>
      <c r="H239" s="407">
        <v>1</v>
      </c>
      <c r="I239" s="408">
        <f>'Mat. Betuminoso'!F15</f>
        <v>3420</v>
      </c>
      <c r="J239" s="408">
        <f>I239*H239</f>
        <v>3420</v>
      </c>
    </row>
    <row r="240" spans="1:10" s="296" customFormat="1" ht="15" x14ac:dyDescent="0.25">
      <c r="A240" s="409"/>
      <c r="B240" s="409"/>
      <c r="C240" s="409"/>
      <c r="D240" s="409"/>
      <c r="E240" s="409"/>
      <c r="F240" s="410"/>
      <c r="G240" s="409"/>
      <c r="H240" s="410"/>
      <c r="I240" s="409"/>
      <c r="J240" s="410"/>
    </row>
    <row r="241" spans="1:10" s="296" customFormat="1" ht="15.75" customHeight="1" thickBot="1" x14ac:dyDescent="0.3">
      <c r="A241" s="409"/>
      <c r="B241" s="409"/>
      <c r="C241" s="409"/>
      <c r="D241" s="409"/>
      <c r="E241" s="409" t="s">
        <v>116</v>
      </c>
      <c r="F241" s="410">
        <f>TRUNC(J238*H2,2)</f>
        <v>513</v>
      </c>
      <c r="G241" s="409"/>
      <c r="H241" s="455" t="s">
        <v>117</v>
      </c>
      <c r="I241" s="455"/>
      <c r="J241" s="410">
        <f>F241+J238</f>
        <v>3933</v>
      </c>
    </row>
    <row r="242" spans="1:10" s="296" customFormat="1" ht="0.95" customHeight="1" thickTop="1" x14ac:dyDescent="0.25">
      <c r="A242" s="411"/>
      <c r="B242" s="411"/>
      <c r="C242" s="411"/>
      <c r="D242" s="411"/>
      <c r="E242" s="411"/>
      <c r="F242" s="411"/>
      <c r="G242" s="411"/>
      <c r="H242" s="411"/>
      <c r="I242" s="411"/>
      <c r="J242" s="411"/>
    </row>
    <row r="243" spans="1:10" s="296" customFormat="1" ht="18" customHeight="1" x14ac:dyDescent="0.25">
      <c r="A243" s="412" t="s">
        <v>666</v>
      </c>
      <c r="B243" s="413" t="s">
        <v>67</v>
      </c>
      <c r="C243" s="412" t="s">
        <v>68</v>
      </c>
      <c r="D243" s="412" t="s">
        <v>1</v>
      </c>
      <c r="E243" s="457" t="s">
        <v>110</v>
      </c>
      <c r="F243" s="457"/>
      <c r="G243" s="414" t="s">
        <v>2</v>
      </c>
      <c r="H243" s="413" t="s">
        <v>3</v>
      </c>
      <c r="I243" s="413" t="s">
        <v>69</v>
      </c>
      <c r="J243" s="413" t="s">
        <v>45</v>
      </c>
    </row>
    <row r="244" spans="1:10" s="296" customFormat="1" ht="39" customHeight="1" x14ac:dyDescent="0.25">
      <c r="A244" s="394" t="s">
        <v>111</v>
      </c>
      <c r="B244" s="395" t="s">
        <v>82</v>
      </c>
      <c r="C244" s="394" t="s">
        <v>75</v>
      </c>
      <c r="D244" s="394" t="s">
        <v>27</v>
      </c>
      <c r="E244" s="458" t="s">
        <v>198</v>
      </c>
      <c r="F244" s="458"/>
      <c r="G244" s="396" t="s">
        <v>30</v>
      </c>
      <c r="H244" s="397">
        <v>1</v>
      </c>
      <c r="I244" s="398">
        <v>1.49</v>
      </c>
      <c r="J244" s="398">
        <v>1.49</v>
      </c>
    </row>
    <row r="245" spans="1:10" s="296" customFormat="1" ht="65.099999999999994" customHeight="1" x14ac:dyDescent="0.25">
      <c r="A245" s="399" t="s">
        <v>113</v>
      </c>
      <c r="B245" s="400" t="s">
        <v>199</v>
      </c>
      <c r="C245" s="399" t="s">
        <v>75</v>
      </c>
      <c r="D245" s="399" t="s">
        <v>200</v>
      </c>
      <c r="E245" s="463" t="s">
        <v>149</v>
      </c>
      <c r="F245" s="463"/>
      <c r="G245" s="401" t="s">
        <v>150</v>
      </c>
      <c r="H245" s="402">
        <v>2.8E-3</v>
      </c>
      <c r="I245" s="403">
        <v>490.28</v>
      </c>
      <c r="J245" s="403">
        <v>1.37</v>
      </c>
    </row>
    <row r="246" spans="1:10" s="296" customFormat="1" ht="65.099999999999994" customHeight="1" x14ac:dyDescent="0.25">
      <c r="A246" s="399" t="s">
        <v>113</v>
      </c>
      <c r="B246" s="400" t="s">
        <v>201</v>
      </c>
      <c r="C246" s="399" t="s">
        <v>75</v>
      </c>
      <c r="D246" s="399" t="s">
        <v>202</v>
      </c>
      <c r="E246" s="463" t="s">
        <v>149</v>
      </c>
      <c r="F246" s="463"/>
      <c r="G246" s="401" t="s">
        <v>203</v>
      </c>
      <c r="H246" s="402">
        <v>1.1999999999999999E-3</v>
      </c>
      <c r="I246" s="403">
        <v>105.53</v>
      </c>
      <c r="J246" s="403">
        <v>0.12</v>
      </c>
    </row>
    <row r="247" spans="1:10" s="296" customFormat="1" ht="15" x14ac:dyDescent="0.25">
      <c r="A247" s="409"/>
      <c r="B247" s="409"/>
      <c r="C247" s="409"/>
      <c r="D247" s="409"/>
      <c r="E247" s="409"/>
      <c r="F247" s="410"/>
      <c r="G247" s="409"/>
      <c r="H247" s="410"/>
      <c r="I247" s="409"/>
      <c r="J247" s="410"/>
    </row>
    <row r="248" spans="1:10" s="296" customFormat="1" ht="15.75" thickBot="1" x14ac:dyDescent="0.3">
      <c r="A248" s="409"/>
      <c r="B248" s="409"/>
      <c r="C248" s="409"/>
      <c r="D248" s="409"/>
      <c r="E248" s="409" t="s">
        <v>116</v>
      </c>
      <c r="F248" s="410">
        <v>0.22</v>
      </c>
      <c r="G248" s="409"/>
      <c r="H248" s="455" t="s">
        <v>117</v>
      </c>
      <c r="I248" s="455"/>
      <c r="J248" s="410">
        <v>1.71</v>
      </c>
    </row>
    <row r="249" spans="1:10" s="296" customFormat="1" ht="0.95" customHeight="1" thickTop="1" x14ac:dyDescent="0.25">
      <c r="A249" s="411"/>
      <c r="B249" s="411"/>
      <c r="C249" s="411"/>
      <c r="D249" s="411"/>
      <c r="E249" s="411"/>
      <c r="F249" s="411"/>
      <c r="G249" s="411"/>
      <c r="H249" s="411"/>
      <c r="I249" s="411"/>
      <c r="J249" s="411"/>
    </row>
    <row r="250" spans="1:10" s="296" customFormat="1" ht="18" customHeight="1" x14ac:dyDescent="0.25">
      <c r="A250" s="412" t="s">
        <v>667</v>
      </c>
      <c r="B250" s="413" t="s">
        <v>67</v>
      </c>
      <c r="C250" s="412" t="s">
        <v>68</v>
      </c>
      <c r="D250" s="412" t="s">
        <v>1</v>
      </c>
      <c r="E250" s="457" t="s">
        <v>110</v>
      </c>
      <c r="F250" s="457"/>
      <c r="G250" s="414" t="s">
        <v>2</v>
      </c>
      <c r="H250" s="413" t="s">
        <v>3</v>
      </c>
      <c r="I250" s="413" t="s">
        <v>69</v>
      </c>
      <c r="J250" s="413" t="s">
        <v>45</v>
      </c>
    </row>
    <row r="251" spans="1:10" s="296" customFormat="1" ht="51.95" customHeight="1" x14ac:dyDescent="0.25">
      <c r="A251" s="394" t="s">
        <v>111</v>
      </c>
      <c r="B251" s="395" t="s">
        <v>83</v>
      </c>
      <c r="C251" s="394" t="s">
        <v>75</v>
      </c>
      <c r="D251" s="394" t="s">
        <v>31</v>
      </c>
      <c r="E251" s="458" t="s">
        <v>198</v>
      </c>
      <c r="F251" s="458"/>
      <c r="G251" s="396" t="s">
        <v>30</v>
      </c>
      <c r="H251" s="397">
        <v>1</v>
      </c>
      <c r="I251" s="398">
        <v>0.57999999999999996</v>
      </c>
      <c r="J251" s="398">
        <v>0.57999999999999996</v>
      </c>
    </row>
    <row r="252" spans="1:10" s="296" customFormat="1" ht="65.099999999999994" customHeight="1" x14ac:dyDescent="0.25">
      <c r="A252" s="399" t="s">
        <v>113</v>
      </c>
      <c r="B252" s="400" t="s">
        <v>199</v>
      </c>
      <c r="C252" s="399" t="s">
        <v>75</v>
      </c>
      <c r="D252" s="399" t="s">
        <v>200</v>
      </c>
      <c r="E252" s="463" t="s">
        <v>149</v>
      </c>
      <c r="F252" s="463"/>
      <c r="G252" s="401" t="s">
        <v>150</v>
      </c>
      <c r="H252" s="402">
        <v>1.1000000000000001E-3</v>
      </c>
      <c r="I252" s="403">
        <v>490.28</v>
      </c>
      <c r="J252" s="403">
        <v>0.53</v>
      </c>
    </row>
    <row r="253" spans="1:10" s="296" customFormat="1" ht="65.099999999999994" customHeight="1" x14ac:dyDescent="0.25">
      <c r="A253" s="399" t="s">
        <v>113</v>
      </c>
      <c r="B253" s="400" t="s">
        <v>201</v>
      </c>
      <c r="C253" s="399" t="s">
        <v>75</v>
      </c>
      <c r="D253" s="399" t="s">
        <v>202</v>
      </c>
      <c r="E253" s="463" t="s">
        <v>149</v>
      </c>
      <c r="F253" s="463"/>
      <c r="G253" s="401" t="s">
        <v>203</v>
      </c>
      <c r="H253" s="402">
        <v>5.0000000000000001E-4</v>
      </c>
      <c r="I253" s="403">
        <v>105.53</v>
      </c>
      <c r="J253" s="403">
        <v>0.05</v>
      </c>
    </row>
    <row r="254" spans="1:10" s="296" customFormat="1" ht="15" x14ac:dyDescent="0.25">
      <c r="A254" s="409"/>
      <c r="B254" s="409"/>
      <c r="C254" s="409"/>
      <c r="D254" s="409"/>
      <c r="E254" s="409"/>
      <c r="F254" s="410"/>
      <c r="G254" s="409"/>
      <c r="H254" s="410"/>
      <c r="I254" s="409"/>
      <c r="J254" s="410"/>
    </row>
    <row r="255" spans="1:10" s="296" customFormat="1" ht="15.75" thickBot="1" x14ac:dyDescent="0.3">
      <c r="A255" s="409"/>
      <c r="B255" s="409"/>
      <c r="C255" s="409"/>
      <c r="D255" s="409"/>
      <c r="E255" s="409" t="s">
        <v>116</v>
      </c>
      <c r="F255" s="410">
        <v>0.08</v>
      </c>
      <c r="G255" s="409"/>
      <c r="H255" s="455" t="s">
        <v>117</v>
      </c>
      <c r="I255" s="455"/>
      <c r="J255" s="410">
        <v>0.66</v>
      </c>
    </row>
    <row r="256" spans="1:10" s="296" customFormat="1" ht="0.95" customHeight="1" thickTop="1" x14ac:dyDescent="0.25">
      <c r="A256" s="411"/>
      <c r="B256" s="411"/>
      <c r="C256" s="411"/>
      <c r="D256" s="411"/>
      <c r="E256" s="411"/>
      <c r="F256" s="411"/>
      <c r="G256" s="411"/>
      <c r="H256" s="411"/>
      <c r="I256" s="411"/>
      <c r="J256" s="411"/>
    </row>
    <row r="257" spans="1:10" s="296" customFormat="1" ht="18" customHeight="1" x14ac:dyDescent="0.25">
      <c r="A257" s="412" t="s">
        <v>668</v>
      </c>
      <c r="B257" s="413" t="s">
        <v>67</v>
      </c>
      <c r="C257" s="412" t="s">
        <v>68</v>
      </c>
      <c r="D257" s="412" t="s">
        <v>1</v>
      </c>
      <c r="E257" s="457" t="s">
        <v>110</v>
      </c>
      <c r="F257" s="457"/>
      <c r="G257" s="414" t="s">
        <v>2</v>
      </c>
      <c r="H257" s="413" t="s">
        <v>3</v>
      </c>
      <c r="I257" s="413" t="s">
        <v>69</v>
      </c>
      <c r="J257" s="413" t="s">
        <v>45</v>
      </c>
    </row>
    <row r="258" spans="1:10" s="296" customFormat="1" ht="24" customHeight="1" x14ac:dyDescent="0.25">
      <c r="A258" s="394" t="s">
        <v>111</v>
      </c>
      <c r="B258" s="395" t="s">
        <v>105</v>
      </c>
      <c r="C258" s="394" t="s">
        <v>77</v>
      </c>
      <c r="D258" s="394" t="s">
        <v>101</v>
      </c>
      <c r="E258" s="458" t="s">
        <v>94</v>
      </c>
      <c r="F258" s="458"/>
      <c r="G258" s="396" t="s">
        <v>7</v>
      </c>
      <c r="H258" s="397">
        <v>1</v>
      </c>
      <c r="I258" s="398">
        <v>0.35</v>
      </c>
      <c r="J258" s="398">
        <v>0.35</v>
      </c>
    </row>
    <row r="259" spans="1:10" s="296" customFormat="1" ht="15" customHeight="1" x14ac:dyDescent="0.25">
      <c r="A259" s="457" t="s">
        <v>155</v>
      </c>
      <c r="B259" s="456" t="s">
        <v>67</v>
      </c>
      <c r="C259" s="457" t="s">
        <v>68</v>
      </c>
      <c r="D259" s="457" t="s">
        <v>156</v>
      </c>
      <c r="E259" s="456" t="s">
        <v>157</v>
      </c>
      <c r="F259" s="459" t="s">
        <v>158</v>
      </c>
      <c r="G259" s="456"/>
      <c r="H259" s="459" t="s">
        <v>159</v>
      </c>
      <c r="I259" s="456"/>
      <c r="J259" s="456" t="s">
        <v>160</v>
      </c>
    </row>
    <row r="260" spans="1:10" s="296" customFormat="1" ht="15" customHeight="1" x14ac:dyDescent="0.25">
      <c r="A260" s="456"/>
      <c r="B260" s="456"/>
      <c r="C260" s="456"/>
      <c r="D260" s="456"/>
      <c r="E260" s="456"/>
      <c r="F260" s="413" t="s">
        <v>161</v>
      </c>
      <c r="G260" s="413" t="s">
        <v>162</v>
      </c>
      <c r="H260" s="413" t="s">
        <v>161</v>
      </c>
      <c r="I260" s="413" t="s">
        <v>162</v>
      </c>
      <c r="J260" s="456"/>
    </row>
    <row r="261" spans="1:10" s="296" customFormat="1" ht="26.1" customHeight="1" x14ac:dyDescent="0.25">
      <c r="A261" s="404" t="s">
        <v>120</v>
      </c>
      <c r="B261" s="405" t="s">
        <v>204</v>
      </c>
      <c r="C261" s="404" t="s">
        <v>77</v>
      </c>
      <c r="D261" s="404" t="s">
        <v>205</v>
      </c>
      <c r="E261" s="407">
        <v>1</v>
      </c>
      <c r="F261" s="408">
        <v>1</v>
      </c>
      <c r="G261" s="408">
        <v>0</v>
      </c>
      <c r="H261" s="415">
        <v>241.7492</v>
      </c>
      <c r="I261" s="415">
        <v>79.554100000000005</v>
      </c>
      <c r="J261" s="415">
        <v>241.7492</v>
      </c>
    </row>
    <row r="262" spans="1:10" s="296" customFormat="1" ht="26.1" customHeight="1" x14ac:dyDescent="0.25">
      <c r="A262" s="404" t="s">
        <v>120</v>
      </c>
      <c r="B262" s="405" t="s">
        <v>206</v>
      </c>
      <c r="C262" s="404" t="s">
        <v>77</v>
      </c>
      <c r="D262" s="404" t="s">
        <v>207</v>
      </c>
      <c r="E262" s="407">
        <v>2</v>
      </c>
      <c r="F262" s="408">
        <v>1</v>
      </c>
      <c r="G262" s="408">
        <v>0</v>
      </c>
      <c r="H262" s="415">
        <v>56.269399999999997</v>
      </c>
      <c r="I262" s="415">
        <v>38.436100000000003</v>
      </c>
      <c r="J262" s="415">
        <v>112.53879999999999</v>
      </c>
    </row>
    <row r="263" spans="1:10" s="296" customFormat="1" ht="20.100000000000001" customHeight="1" x14ac:dyDescent="0.25">
      <c r="A263" s="454"/>
      <c r="B263" s="454"/>
      <c r="C263" s="454"/>
      <c r="D263" s="454"/>
      <c r="E263" s="454"/>
      <c r="F263" s="454" t="s">
        <v>163</v>
      </c>
      <c r="G263" s="454"/>
      <c r="H263" s="454"/>
      <c r="I263" s="454"/>
      <c r="J263" s="416">
        <v>354.28800000000001</v>
      </c>
    </row>
    <row r="264" spans="1:10" s="296" customFormat="1" ht="20.100000000000001" customHeight="1" x14ac:dyDescent="0.25">
      <c r="A264" s="412" t="s">
        <v>164</v>
      </c>
      <c r="B264" s="413" t="s">
        <v>67</v>
      </c>
      <c r="C264" s="412" t="s">
        <v>68</v>
      </c>
      <c r="D264" s="412" t="s">
        <v>125</v>
      </c>
      <c r="E264" s="413" t="s">
        <v>157</v>
      </c>
      <c r="F264" s="456" t="s">
        <v>165</v>
      </c>
      <c r="G264" s="456"/>
      <c r="H264" s="456"/>
      <c r="I264" s="456"/>
      <c r="J264" s="413" t="s">
        <v>160</v>
      </c>
    </row>
    <row r="265" spans="1:10" s="296" customFormat="1" ht="24" customHeight="1" x14ac:dyDescent="0.25">
      <c r="A265" s="404" t="s">
        <v>120</v>
      </c>
      <c r="B265" s="405" t="s">
        <v>166</v>
      </c>
      <c r="C265" s="404" t="s">
        <v>77</v>
      </c>
      <c r="D265" s="404" t="s">
        <v>124</v>
      </c>
      <c r="E265" s="407">
        <v>2</v>
      </c>
      <c r="F265" s="404"/>
      <c r="G265" s="404"/>
      <c r="H265" s="404"/>
      <c r="I265" s="415">
        <v>21.6083</v>
      </c>
      <c r="J265" s="415">
        <v>43.2166</v>
      </c>
    </row>
    <row r="266" spans="1:10" s="296" customFormat="1" ht="20.100000000000001" customHeight="1" x14ac:dyDescent="0.25">
      <c r="A266" s="454"/>
      <c r="B266" s="454"/>
      <c r="C266" s="454"/>
      <c r="D266" s="454"/>
      <c r="E266" s="454"/>
      <c r="F266" s="454" t="s">
        <v>167</v>
      </c>
      <c r="G266" s="454"/>
      <c r="H266" s="454"/>
      <c r="I266" s="454"/>
      <c r="J266" s="416">
        <v>43.2166</v>
      </c>
    </row>
    <row r="267" spans="1:10" s="296" customFormat="1" ht="20.100000000000001" customHeight="1" x14ac:dyDescent="0.25">
      <c r="A267" s="454"/>
      <c r="B267" s="454"/>
      <c r="C267" s="454"/>
      <c r="D267" s="454"/>
      <c r="E267" s="454"/>
      <c r="F267" s="454" t="s">
        <v>168</v>
      </c>
      <c r="G267" s="454"/>
      <c r="H267" s="454"/>
      <c r="I267" s="454"/>
      <c r="J267" s="416">
        <v>0</v>
      </c>
    </row>
    <row r="268" spans="1:10" s="296" customFormat="1" ht="20.100000000000001" customHeight="1" x14ac:dyDescent="0.25">
      <c r="A268" s="454"/>
      <c r="B268" s="454"/>
      <c r="C268" s="454"/>
      <c r="D268" s="454"/>
      <c r="E268" s="454"/>
      <c r="F268" s="454" t="s">
        <v>169</v>
      </c>
      <c r="G268" s="454"/>
      <c r="H268" s="454"/>
      <c r="I268" s="454"/>
      <c r="J268" s="416">
        <v>397.50459999999998</v>
      </c>
    </row>
    <row r="269" spans="1:10" s="296" customFormat="1" ht="20.100000000000001" customHeight="1" x14ac:dyDescent="0.25">
      <c r="A269" s="454"/>
      <c r="B269" s="454"/>
      <c r="C269" s="454"/>
      <c r="D269" s="454"/>
      <c r="E269" s="454"/>
      <c r="F269" s="454" t="s">
        <v>170</v>
      </c>
      <c r="G269" s="454"/>
      <c r="H269" s="454"/>
      <c r="I269" s="454"/>
      <c r="J269" s="416">
        <v>2.3999999999999998E-3</v>
      </c>
    </row>
    <row r="270" spans="1:10" s="296" customFormat="1" ht="20.100000000000001" customHeight="1" x14ac:dyDescent="0.25">
      <c r="A270" s="454"/>
      <c r="B270" s="454"/>
      <c r="C270" s="454"/>
      <c r="D270" s="454"/>
      <c r="E270" s="454"/>
      <c r="F270" s="454" t="s">
        <v>171</v>
      </c>
      <c r="G270" s="454"/>
      <c r="H270" s="454"/>
      <c r="I270" s="454"/>
      <c r="J270" s="416">
        <v>8.0000000000000004E-4</v>
      </c>
    </row>
    <row r="271" spans="1:10" s="296" customFormat="1" ht="20.100000000000001" customHeight="1" x14ac:dyDescent="0.25">
      <c r="A271" s="454"/>
      <c r="B271" s="454"/>
      <c r="C271" s="454"/>
      <c r="D271" s="454"/>
      <c r="E271" s="454"/>
      <c r="F271" s="454" t="s">
        <v>172</v>
      </c>
      <c r="G271" s="454"/>
      <c r="H271" s="454"/>
      <c r="I271" s="454"/>
      <c r="J271" s="416">
        <v>1125</v>
      </c>
    </row>
    <row r="272" spans="1:10" s="296" customFormat="1" ht="20.100000000000001" customHeight="1" x14ac:dyDescent="0.25">
      <c r="A272" s="454"/>
      <c r="B272" s="454"/>
      <c r="C272" s="454"/>
      <c r="D272" s="454"/>
      <c r="E272" s="454"/>
      <c r="F272" s="454" t="s">
        <v>173</v>
      </c>
      <c r="G272" s="454"/>
      <c r="H272" s="454"/>
      <c r="I272" s="454"/>
      <c r="J272" s="416">
        <v>0.3533</v>
      </c>
    </row>
    <row r="273" spans="1:10" s="296" customFormat="1" ht="15" x14ac:dyDescent="0.25">
      <c r="A273" s="409"/>
      <c r="B273" s="409"/>
      <c r="C273" s="409"/>
      <c r="D273" s="409"/>
      <c r="E273" s="409"/>
      <c r="F273" s="410"/>
      <c r="G273" s="409"/>
      <c r="H273" s="410"/>
      <c r="I273" s="409"/>
      <c r="J273" s="410"/>
    </row>
    <row r="274" spans="1:10" s="296" customFormat="1" ht="15.75" thickBot="1" x14ac:dyDescent="0.3">
      <c r="A274" s="409"/>
      <c r="B274" s="409"/>
      <c r="C274" s="409"/>
      <c r="D274" s="409"/>
      <c r="E274" s="409" t="s">
        <v>116</v>
      </c>
      <c r="F274" s="410">
        <v>0.08</v>
      </c>
      <c r="G274" s="409"/>
      <c r="H274" s="455" t="s">
        <v>117</v>
      </c>
      <c r="I274" s="455"/>
      <c r="J274" s="410">
        <v>0.43</v>
      </c>
    </row>
    <row r="275" spans="1:10" s="296" customFormat="1" ht="0.95" customHeight="1" thickTop="1" x14ac:dyDescent="0.25">
      <c r="A275" s="411"/>
      <c r="B275" s="411"/>
      <c r="C275" s="411"/>
      <c r="D275" s="411"/>
      <c r="E275" s="411"/>
      <c r="F275" s="411"/>
      <c r="G275" s="411"/>
      <c r="H275" s="411"/>
      <c r="I275" s="411"/>
      <c r="J275" s="411"/>
    </row>
    <row r="276" spans="1:10" s="296" customFormat="1" ht="18" customHeight="1" x14ac:dyDescent="0.25">
      <c r="A276" s="412" t="s">
        <v>669</v>
      </c>
      <c r="B276" s="413" t="s">
        <v>67</v>
      </c>
      <c r="C276" s="412" t="s">
        <v>68</v>
      </c>
      <c r="D276" s="412" t="s">
        <v>1</v>
      </c>
      <c r="E276" s="457" t="s">
        <v>110</v>
      </c>
      <c r="F276" s="457"/>
      <c r="G276" s="414" t="s">
        <v>2</v>
      </c>
      <c r="H276" s="413" t="s">
        <v>3</v>
      </c>
      <c r="I276" s="413" t="s">
        <v>69</v>
      </c>
      <c r="J276" s="413" t="s">
        <v>45</v>
      </c>
    </row>
    <row r="277" spans="1:10" s="296" customFormat="1" ht="26.1" customHeight="1" x14ac:dyDescent="0.25">
      <c r="A277" s="394" t="s">
        <v>111</v>
      </c>
      <c r="B277" s="395" t="s">
        <v>106</v>
      </c>
      <c r="C277" s="394" t="s">
        <v>77</v>
      </c>
      <c r="D277" s="394" t="s">
        <v>102</v>
      </c>
      <c r="E277" s="458" t="s">
        <v>94</v>
      </c>
      <c r="F277" s="458"/>
      <c r="G277" s="396" t="s">
        <v>7</v>
      </c>
      <c r="H277" s="397">
        <v>1</v>
      </c>
      <c r="I277" s="398">
        <v>5.14</v>
      </c>
      <c r="J277" s="398">
        <v>5.14</v>
      </c>
    </row>
    <row r="278" spans="1:10" s="296" customFormat="1" ht="15" customHeight="1" x14ac:dyDescent="0.25">
      <c r="A278" s="457" t="s">
        <v>155</v>
      </c>
      <c r="B278" s="456" t="s">
        <v>67</v>
      </c>
      <c r="C278" s="457" t="s">
        <v>68</v>
      </c>
      <c r="D278" s="457" t="s">
        <v>156</v>
      </c>
      <c r="E278" s="456" t="s">
        <v>157</v>
      </c>
      <c r="F278" s="459" t="s">
        <v>158</v>
      </c>
      <c r="G278" s="456"/>
      <c r="H278" s="459" t="s">
        <v>159</v>
      </c>
      <c r="I278" s="456"/>
      <c r="J278" s="456" t="s">
        <v>160</v>
      </c>
    </row>
    <row r="279" spans="1:10" s="296" customFormat="1" ht="15" customHeight="1" x14ac:dyDescent="0.25">
      <c r="A279" s="456"/>
      <c r="B279" s="456"/>
      <c r="C279" s="456"/>
      <c r="D279" s="456"/>
      <c r="E279" s="456"/>
      <c r="F279" s="413" t="s">
        <v>161</v>
      </c>
      <c r="G279" s="413" t="s">
        <v>162</v>
      </c>
      <c r="H279" s="413" t="s">
        <v>161</v>
      </c>
      <c r="I279" s="413" t="s">
        <v>162</v>
      </c>
      <c r="J279" s="456"/>
    </row>
    <row r="280" spans="1:10" s="296" customFormat="1" ht="26.1" customHeight="1" x14ac:dyDescent="0.25">
      <c r="A280" s="404" t="s">
        <v>120</v>
      </c>
      <c r="B280" s="405" t="s">
        <v>204</v>
      </c>
      <c r="C280" s="404" t="s">
        <v>77</v>
      </c>
      <c r="D280" s="404" t="s">
        <v>205</v>
      </c>
      <c r="E280" s="407">
        <v>1</v>
      </c>
      <c r="F280" s="408">
        <v>1</v>
      </c>
      <c r="G280" s="408">
        <v>0</v>
      </c>
      <c r="H280" s="415">
        <v>241.7492</v>
      </c>
      <c r="I280" s="415">
        <v>79.554100000000005</v>
      </c>
      <c r="J280" s="415">
        <v>241.7492</v>
      </c>
    </row>
    <row r="281" spans="1:10" s="296" customFormat="1" ht="26.1" customHeight="1" x14ac:dyDescent="0.25">
      <c r="A281" s="404" t="s">
        <v>120</v>
      </c>
      <c r="B281" s="405" t="s">
        <v>208</v>
      </c>
      <c r="C281" s="404" t="s">
        <v>77</v>
      </c>
      <c r="D281" s="404" t="s">
        <v>209</v>
      </c>
      <c r="E281" s="407">
        <v>1</v>
      </c>
      <c r="F281" s="408">
        <v>0.28000000000000003</v>
      </c>
      <c r="G281" s="408">
        <v>0.72</v>
      </c>
      <c r="H281" s="415">
        <v>13.741899999999999</v>
      </c>
      <c r="I281" s="415">
        <v>8.8489000000000004</v>
      </c>
      <c r="J281" s="415">
        <v>10.2189</v>
      </c>
    </row>
    <row r="282" spans="1:10" s="296" customFormat="1" ht="26.1" customHeight="1" x14ac:dyDescent="0.25">
      <c r="A282" s="404" t="s">
        <v>120</v>
      </c>
      <c r="B282" s="405" t="s">
        <v>182</v>
      </c>
      <c r="C282" s="404" t="s">
        <v>77</v>
      </c>
      <c r="D282" s="404" t="s">
        <v>39</v>
      </c>
      <c r="E282" s="407">
        <v>1</v>
      </c>
      <c r="F282" s="408">
        <v>0.31</v>
      </c>
      <c r="G282" s="408">
        <v>0.69</v>
      </c>
      <c r="H282" s="415">
        <v>241.52109999999999</v>
      </c>
      <c r="I282" s="415">
        <v>125.0121</v>
      </c>
      <c r="J282" s="415">
        <v>161.12989999999999</v>
      </c>
    </row>
    <row r="283" spans="1:10" s="296" customFormat="1" ht="26.1" customHeight="1" x14ac:dyDescent="0.25">
      <c r="A283" s="404" t="s">
        <v>120</v>
      </c>
      <c r="B283" s="405" t="s">
        <v>206</v>
      </c>
      <c r="C283" s="404" t="s">
        <v>77</v>
      </c>
      <c r="D283" s="404" t="s">
        <v>207</v>
      </c>
      <c r="E283" s="407">
        <v>2</v>
      </c>
      <c r="F283" s="408">
        <v>1</v>
      </c>
      <c r="G283" s="408">
        <v>0</v>
      </c>
      <c r="H283" s="415">
        <v>56.269399999999997</v>
      </c>
      <c r="I283" s="415">
        <v>38.436100000000003</v>
      </c>
      <c r="J283" s="415">
        <v>112.53879999999999</v>
      </c>
    </row>
    <row r="284" spans="1:10" s="296" customFormat="1" ht="20.100000000000001" customHeight="1" x14ac:dyDescent="0.25">
      <c r="A284" s="454"/>
      <c r="B284" s="454"/>
      <c r="C284" s="454"/>
      <c r="D284" s="454"/>
      <c r="E284" s="454"/>
      <c r="F284" s="454" t="s">
        <v>163</v>
      </c>
      <c r="G284" s="454"/>
      <c r="H284" s="454"/>
      <c r="I284" s="454"/>
      <c r="J284" s="416">
        <v>525.63679999999999</v>
      </c>
    </row>
    <row r="285" spans="1:10" s="296" customFormat="1" ht="20.100000000000001" customHeight="1" x14ac:dyDescent="0.25">
      <c r="A285" s="412" t="s">
        <v>164</v>
      </c>
      <c r="B285" s="413" t="s">
        <v>67</v>
      </c>
      <c r="C285" s="412" t="s">
        <v>68</v>
      </c>
      <c r="D285" s="412" t="s">
        <v>125</v>
      </c>
      <c r="E285" s="413" t="s">
        <v>157</v>
      </c>
      <c r="F285" s="456" t="s">
        <v>165</v>
      </c>
      <c r="G285" s="456"/>
      <c r="H285" s="456"/>
      <c r="I285" s="456"/>
      <c r="J285" s="413" t="s">
        <v>160</v>
      </c>
    </row>
    <row r="286" spans="1:10" s="296" customFormat="1" ht="24" customHeight="1" x14ac:dyDescent="0.25">
      <c r="A286" s="404" t="s">
        <v>120</v>
      </c>
      <c r="B286" s="405" t="s">
        <v>166</v>
      </c>
      <c r="C286" s="404" t="s">
        <v>77</v>
      </c>
      <c r="D286" s="404" t="s">
        <v>124</v>
      </c>
      <c r="E286" s="407">
        <v>8</v>
      </c>
      <c r="F286" s="404"/>
      <c r="G286" s="404"/>
      <c r="H286" s="404"/>
      <c r="I286" s="415">
        <v>21.6083</v>
      </c>
      <c r="J286" s="415">
        <v>172.8664</v>
      </c>
    </row>
    <row r="287" spans="1:10" s="296" customFormat="1" ht="20.100000000000001" customHeight="1" x14ac:dyDescent="0.25">
      <c r="A287" s="454"/>
      <c r="B287" s="454"/>
      <c r="C287" s="454"/>
      <c r="D287" s="454"/>
      <c r="E287" s="454"/>
      <c r="F287" s="454" t="s">
        <v>167</v>
      </c>
      <c r="G287" s="454"/>
      <c r="H287" s="454"/>
      <c r="I287" s="454"/>
      <c r="J287" s="416">
        <v>172.8664</v>
      </c>
    </row>
    <row r="288" spans="1:10" s="296" customFormat="1" ht="20.100000000000001" customHeight="1" x14ac:dyDescent="0.25">
      <c r="A288" s="454"/>
      <c r="B288" s="454"/>
      <c r="C288" s="454"/>
      <c r="D288" s="454"/>
      <c r="E288" s="454"/>
      <c r="F288" s="454" t="s">
        <v>168</v>
      </c>
      <c r="G288" s="454"/>
      <c r="H288" s="454"/>
      <c r="I288" s="454"/>
      <c r="J288" s="416">
        <v>0</v>
      </c>
    </row>
    <row r="289" spans="1:10" s="296" customFormat="1" ht="20.100000000000001" customHeight="1" x14ac:dyDescent="0.25">
      <c r="A289" s="454"/>
      <c r="B289" s="454"/>
      <c r="C289" s="454"/>
      <c r="D289" s="454"/>
      <c r="E289" s="454"/>
      <c r="F289" s="454" t="s">
        <v>169</v>
      </c>
      <c r="G289" s="454"/>
      <c r="H289" s="454"/>
      <c r="I289" s="454"/>
      <c r="J289" s="416">
        <v>698.50319999999999</v>
      </c>
    </row>
    <row r="290" spans="1:10" s="296" customFormat="1" ht="20.100000000000001" customHeight="1" x14ac:dyDescent="0.25">
      <c r="A290" s="454"/>
      <c r="B290" s="454"/>
      <c r="C290" s="454"/>
      <c r="D290" s="454"/>
      <c r="E290" s="454"/>
      <c r="F290" s="454" t="s">
        <v>170</v>
      </c>
      <c r="G290" s="454"/>
      <c r="H290" s="454"/>
      <c r="I290" s="454"/>
      <c r="J290" s="416">
        <v>2.3999999999999998E-3</v>
      </c>
    </row>
    <row r="291" spans="1:10" s="296" customFormat="1" ht="20.100000000000001" customHeight="1" x14ac:dyDescent="0.25">
      <c r="A291" s="454"/>
      <c r="B291" s="454"/>
      <c r="C291" s="454"/>
      <c r="D291" s="454"/>
      <c r="E291" s="454"/>
      <c r="F291" s="454" t="s">
        <v>171</v>
      </c>
      <c r="G291" s="454"/>
      <c r="H291" s="454"/>
      <c r="I291" s="454"/>
      <c r="J291" s="416">
        <v>4.5999999999999999E-3</v>
      </c>
    </row>
    <row r="292" spans="1:10" s="296" customFormat="1" ht="20.100000000000001" customHeight="1" x14ac:dyDescent="0.25">
      <c r="A292" s="454"/>
      <c r="B292" s="454"/>
      <c r="C292" s="454"/>
      <c r="D292" s="454"/>
      <c r="E292" s="454"/>
      <c r="F292" s="454" t="s">
        <v>172</v>
      </c>
      <c r="G292" s="454"/>
      <c r="H292" s="454"/>
      <c r="I292" s="454"/>
      <c r="J292" s="416">
        <v>361.93</v>
      </c>
    </row>
    <row r="293" spans="1:10" s="296" customFormat="1" ht="20.100000000000001" customHeight="1" x14ac:dyDescent="0.25">
      <c r="A293" s="454"/>
      <c r="B293" s="454"/>
      <c r="C293" s="454"/>
      <c r="D293" s="454"/>
      <c r="E293" s="454"/>
      <c r="F293" s="454" t="s">
        <v>173</v>
      </c>
      <c r="G293" s="454"/>
      <c r="H293" s="454"/>
      <c r="I293" s="454"/>
      <c r="J293" s="416">
        <v>1.9298999999999999</v>
      </c>
    </row>
    <row r="294" spans="1:10" s="296" customFormat="1" ht="20.100000000000001" customHeight="1" x14ac:dyDescent="0.25">
      <c r="A294" s="412" t="s">
        <v>210</v>
      </c>
      <c r="B294" s="413" t="s">
        <v>68</v>
      </c>
      <c r="C294" s="412" t="s">
        <v>67</v>
      </c>
      <c r="D294" s="412" t="s">
        <v>54</v>
      </c>
      <c r="E294" s="413" t="s">
        <v>157</v>
      </c>
      <c r="F294" s="413" t="s">
        <v>187</v>
      </c>
      <c r="G294" s="456" t="s">
        <v>188</v>
      </c>
      <c r="H294" s="456"/>
      <c r="I294" s="456"/>
      <c r="J294" s="413" t="s">
        <v>160</v>
      </c>
    </row>
    <row r="295" spans="1:10" s="296" customFormat="1" ht="24" customHeight="1" x14ac:dyDescent="0.25">
      <c r="A295" s="404" t="s">
        <v>120</v>
      </c>
      <c r="B295" s="405" t="s">
        <v>77</v>
      </c>
      <c r="C295" s="404" t="s">
        <v>211</v>
      </c>
      <c r="D295" s="404" t="s">
        <v>212</v>
      </c>
      <c r="E295" s="407">
        <v>7.3299999999999997E-3</v>
      </c>
      <c r="F295" s="406" t="s">
        <v>14</v>
      </c>
      <c r="G295" s="461">
        <v>135.21520000000001</v>
      </c>
      <c r="H295" s="461"/>
      <c r="I295" s="460"/>
      <c r="J295" s="415">
        <v>0.99109999999999998</v>
      </c>
    </row>
    <row r="296" spans="1:10" s="296" customFormat="1" ht="24" customHeight="1" x14ac:dyDescent="0.25">
      <c r="A296" s="404" t="s">
        <v>120</v>
      </c>
      <c r="B296" s="405" t="s">
        <v>77</v>
      </c>
      <c r="C296" s="404" t="s">
        <v>213</v>
      </c>
      <c r="D296" s="404" t="s">
        <v>214</v>
      </c>
      <c r="E296" s="407">
        <v>1.4999999999999999E-2</v>
      </c>
      <c r="F296" s="406" t="s">
        <v>14</v>
      </c>
      <c r="G296" s="461">
        <v>132.30690000000001</v>
      </c>
      <c r="H296" s="461"/>
      <c r="I296" s="460"/>
      <c r="J296" s="415">
        <v>1.9845999999999999</v>
      </c>
    </row>
    <row r="297" spans="1:10" s="296" customFormat="1" ht="20.100000000000001" customHeight="1" x14ac:dyDescent="0.25">
      <c r="A297" s="454"/>
      <c r="B297" s="454"/>
      <c r="C297" s="454"/>
      <c r="D297" s="454"/>
      <c r="E297" s="454"/>
      <c r="F297" s="454" t="s">
        <v>215</v>
      </c>
      <c r="G297" s="454"/>
      <c r="H297" s="454"/>
      <c r="I297" s="454"/>
      <c r="J297" s="416">
        <v>2.9756999999999998</v>
      </c>
    </row>
    <row r="298" spans="1:10" s="296" customFormat="1" ht="20.100000000000001" customHeight="1" x14ac:dyDescent="0.25">
      <c r="A298" s="412" t="s">
        <v>192</v>
      </c>
      <c r="B298" s="413" t="s">
        <v>68</v>
      </c>
      <c r="C298" s="412" t="s">
        <v>120</v>
      </c>
      <c r="D298" s="412" t="s">
        <v>193</v>
      </c>
      <c r="E298" s="413" t="s">
        <v>67</v>
      </c>
      <c r="F298" s="413" t="s">
        <v>157</v>
      </c>
      <c r="G298" s="414" t="s">
        <v>187</v>
      </c>
      <c r="H298" s="456" t="s">
        <v>188</v>
      </c>
      <c r="I298" s="456"/>
      <c r="J298" s="413" t="s">
        <v>160</v>
      </c>
    </row>
    <row r="299" spans="1:10" s="296" customFormat="1" ht="51.95" customHeight="1" x14ac:dyDescent="0.25">
      <c r="A299" s="399" t="s">
        <v>194</v>
      </c>
      <c r="B299" s="400" t="s">
        <v>77</v>
      </c>
      <c r="C299" s="399" t="s">
        <v>211</v>
      </c>
      <c r="D299" s="399" t="s">
        <v>216</v>
      </c>
      <c r="E299" s="400">
        <v>5914648</v>
      </c>
      <c r="F299" s="402">
        <v>1.0999999999999999E-2</v>
      </c>
      <c r="G299" s="401" t="s">
        <v>22</v>
      </c>
      <c r="H299" s="462">
        <v>6.94</v>
      </c>
      <c r="I299" s="463"/>
      <c r="J299" s="417">
        <v>7.6300000000000007E-2</v>
      </c>
    </row>
    <row r="300" spans="1:10" s="296" customFormat="1" ht="51.95" customHeight="1" x14ac:dyDescent="0.25">
      <c r="A300" s="399" t="s">
        <v>194</v>
      </c>
      <c r="B300" s="400" t="s">
        <v>77</v>
      </c>
      <c r="C300" s="399" t="s">
        <v>213</v>
      </c>
      <c r="D300" s="399" t="s">
        <v>216</v>
      </c>
      <c r="E300" s="400">
        <v>5914648</v>
      </c>
      <c r="F300" s="402">
        <v>2.2499999999999999E-2</v>
      </c>
      <c r="G300" s="401" t="s">
        <v>22</v>
      </c>
      <c r="H300" s="462">
        <v>6.94</v>
      </c>
      <c r="I300" s="463"/>
      <c r="J300" s="417">
        <v>0.15620000000000001</v>
      </c>
    </row>
    <row r="301" spans="1:10" s="296" customFormat="1" ht="20.100000000000001" customHeight="1" x14ac:dyDescent="0.25">
      <c r="A301" s="454"/>
      <c r="B301" s="454"/>
      <c r="C301" s="454"/>
      <c r="D301" s="454"/>
      <c r="E301" s="454"/>
      <c r="F301" s="454" t="s">
        <v>196</v>
      </c>
      <c r="G301" s="454"/>
      <c r="H301" s="454"/>
      <c r="I301" s="454"/>
      <c r="J301" s="416">
        <v>0.23250000000000001</v>
      </c>
    </row>
    <row r="302" spans="1:10" s="296" customFormat="1" ht="15" x14ac:dyDescent="0.25">
      <c r="A302" s="409"/>
      <c r="B302" s="409"/>
      <c r="C302" s="409"/>
      <c r="D302" s="409"/>
      <c r="E302" s="409"/>
      <c r="F302" s="410"/>
      <c r="G302" s="409"/>
      <c r="H302" s="410"/>
      <c r="I302" s="409"/>
      <c r="J302" s="410"/>
    </row>
    <row r="303" spans="1:10" s="296" customFormat="1" ht="15.75" thickBot="1" x14ac:dyDescent="0.3">
      <c r="A303" s="409"/>
      <c r="B303" s="409"/>
      <c r="C303" s="409"/>
      <c r="D303" s="409"/>
      <c r="E303" s="409" t="s">
        <v>116</v>
      </c>
      <c r="F303" s="410">
        <v>1.2</v>
      </c>
      <c r="G303" s="409"/>
      <c r="H303" s="455" t="s">
        <v>117</v>
      </c>
      <c r="I303" s="455"/>
      <c r="J303" s="410">
        <v>6.34</v>
      </c>
    </row>
    <row r="304" spans="1:10" s="296" customFormat="1" ht="0.95" customHeight="1" thickTop="1" x14ac:dyDescent="0.25">
      <c r="A304" s="411"/>
      <c r="B304" s="411"/>
      <c r="C304" s="411"/>
      <c r="D304" s="411"/>
      <c r="E304" s="411"/>
      <c r="F304" s="411"/>
      <c r="G304" s="411"/>
      <c r="H304" s="411"/>
      <c r="I304" s="411"/>
      <c r="J304" s="411"/>
    </row>
    <row r="305" spans="1:10" s="296" customFormat="1" ht="18" customHeight="1" x14ac:dyDescent="0.25">
      <c r="A305" s="412" t="s">
        <v>670</v>
      </c>
      <c r="B305" s="413" t="s">
        <v>67</v>
      </c>
      <c r="C305" s="412" t="s">
        <v>68</v>
      </c>
      <c r="D305" s="412" t="s">
        <v>1</v>
      </c>
      <c r="E305" s="457" t="s">
        <v>110</v>
      </c>
      <c r="F305" s="457"/>
      <c r="G305" s="414" t="s">
        <v>2</v>
      </c>
      <c r="H305" s="413" t="s">
        <v>3</v>
      </c>
      <c r="I305" s="413" t="s">
        <v>69</v>
      </c>
      <c r="J305" s="413" t="s">
        <v>45</v>
      </c>
    </row>
    <row r="306" spans="1:10" s="296" customFormat="1" ht="24" customHeight="1" x14ac:dyDescent="0.25">
      <c r="A306" s="394" t="s">
        <v>111</v>
      </c>
      <c r="B306" s="395" t="s">
        <v>585</v>
      </c>
      <c r="C306" s="394" t="s">
        <v>77</v>
      </c>
      <c r="D306" s="394" t="s">
        <v>573</v>
      </c>
      <c r="E306" s="458" t="s">
        <v>94</v>
      </c>
      <c r="F306" s="458"/>
      <c r="G306" s="396" t="s">
        <v>7</v>
      </c>
      <c r="H306" s="397">
        <v>1</v>
      </c>
      <c r="I306" s="398">
        <v>0.9</v>
      </c>
      <c r="J306" s="398">
        <v>0.9</v>
      </c>
    </row>
    <row r="307" spans="1:10" s="296" customFormat="1" ht="15" customHeight="1" x14ac:dyDescent="0.25">
      <c r="A307" s="457" t="s">
        <v>155</v>
      </c>
      <c r="B307" s="456" t="s">
        <v>67</v>
      </c>
      <c r="C307" s="457" t="s">
        <v>68</v>
      </c>
      <c r="D307" s="457" t="s">
        <v>156</v>
      </c>
      <c r="E307" s="456" t="s">
        <v>157</v>
      </c>
      <c r="F307" s="459" t="s">
        <v>158</v>
      </c>
      <c r="G307" s="456"/>
      <c r="H307" s="459" t="s">
        <v>159</v>
      </c>
      <c r="I307" s="456"/>
      <c r="J307" s="456" t="s">
        <v>160</v>
      </c>
    </row>
    <row r="308" spans="1:10" s="296" customFormat="1" ht="15" customHeight="1" x14ac:dyDescent="0.25">
      <c r="A308" s="456"/>
      <c r="B308" s="456"/>
      <c r="C308" s="456"/>
      <c r="D308" s="456"/>
      <c r="E308" s="456"/>
      <c r="F308" s="413" t="s">
        <v>161</v>
      </c>
      <c r="G308" s="413" t="s">
        <v>162</v>
      </c>
      <c r="H308" s="413" t="s">
        <v>161</v>
      </c>
      <c r="I308" s="413" t="s">
        <v>162</v>
      </c>
      <c r="J308" s="456"/>
    </row>
    <row r="309" spans="1:10" s="296" customFormat="1" ht="26.1" customHeight="1" x14ac:dyDescent="0.25">
      <c r="A309" s="404" t="s">
        <v>120</v>
      </c>
      <c r="B309" s="405" t="s">
        <v>204</v>
      </c>
      <c r="C309" s="404" t="s">
        <v>77</v>
      </c>
      <c r="D309" s="404" t="s">
        <v>205</v>
      </c>
      <c r="E309" s="407">
        <v>1</v>
      </c>
      <c r="F309" s="408">
        <v>1</v>
      </c>
      <c r="G309" s="408">
        <v>0</v>
      </c>
      <c r="H309" s="415">
        <v>241.7492</v>
      </c>
      <c r="I309" s="415">
        <v>79.554100000000005</v>
      </c>
      <c r="J309" s="415">
        <v>241.7492</v>
      </c>
    </row>
    <row r="310" spans="1:10" s="296" customFormat="1" ht="26.1" customHeight="1" x14ac:dyDescent="0.25">
      <c r="A310" s="404" t="s">
        <v>120</v>
      </c>
      <c r="B310" s="405" t="s">
        <v>208</v>
      </c>
      <c r="C310" s="404" t="s">
        <v>77</v>
      </c>
      <c r="D310" s="404" t="s">
        <v>209</v>
      </c>
      <c r="E310" s="407">
        <v>1</v>
      </c>
      <c r="F310" s="408">
        <v>0.26</v>
      </c>
      <c r="G310" s="408">
        <v>0.74</v>
      </c>
      <c r="H310" s="415">
        <v>13.741899999999999</v>
      </c>
      <c r="I310" s="415">
        <v>8.8489000000000004</v>
      </c>
      <c r="J310" s="415">
        <v>10.1211</v>
      </c>
    </row>
    <row r="311" spans="1:10" s="296" customFormat="1" ht="26.1" customHeight="1" x14ac:dyDescent="0.25">
      <c r="A311" s="404" t="s">
        <v>120</v>
      </c>
      <c r="B311" s="405" t="s">
        <v>182</v>
      </c>
      <c r="C311" s="404" t="s">
        <v>77</v>
      </c>
      <c r="D311" s="404" t="s">
        <v>39</v>
      </c>
      <c r="E311" s="407">
        <v>1</v>
      </c>
      <c r="F311" s="408">
        <v>0.78</v>
      </c>
      <c r="G311" s="408">
        <v>0.22</v>
      </c>
      <c r="H311" s="415">
        <v>241.52109999999999</v>
      </c>
      <c r="I311" s="415">
        <v>125.0121</v>
      </c>
      <c r="J311" s="415">
        <v>215.88910000000001</v>
      </c>
    </row>
    <row r="312" spans="1:10" s="296" customFormat="1" ht="26.1" customHeight="1" x14ac:dyDescent="0.25">
      <c r="A312" s="404" t="s">
        <v>120</v>
      </c>
      <c r="B312" s="405" t="s">
        <v>206</v>
      </c>
      <c r="C312" s="404" t="s">
        <v>77</v>
      </c>
      <c r="D312" s="404" t="s">
        <v>207</v>
      </c>
      <c r="E312" s="407">
        <v>2</v>
      </c>
      <c r="F312" s="408">
        <v>1</v>
      </c>
      <c r="G312" s="408">
        <v>0</v>
      </c>
      <c r="H312" s="415">
        <v>56.269399999999997</v>
      </c>
      <c r="I312" s="415">
        <v>38.436100000000003</v>
      </c>
      <c r="J312" s="415">
        <v>112.53879999999999</v>
      </c>
    </row>
    <row r="313" spans="1:10" s="296" customFormat="1" ht="20.100000000000001" customHeight="1" x14ac:dyDescent="0.25">
      <c r="A313" s="454"/>
      <c r="B313" s="454"/>
      <c r="C313" s="454"/>
      <c r="D313" s="454"/>
      <c r="E313" s="454"/>
      <c r="F313" s="454" t="s">
        <v>163</v>
      </c>
      <c r="G313" s="454"/>
      <c r="H313" s="454"/>
      <c r="I313" s="454"/>
      <c r="J313" s="416">
        <v>580.29819999999995</v>
      </c>
    </row>
    <row r="314" spans="1:10" s="296" customFormat="1" ht="20.100000000000001" customHeight="1" x14ac:dyDescent="0.25">
      <c r="A314" s="412" t="s">
        <v>164</v>
      </c>
      <c r="B314" s="413" t="s">
        <v>67</v>
      </c>
      <c r="C314" s="412" t="s">
        <v>68</v>
      </c>
      <c r="D314" s="412" t="s">
        <v>125</v>
      </c>
      <c r="E314" s="413" t="s">
        <v>157</v>
      </c>
      <c r="F314" s="456" t="s">
        <v>165</v>
      </c>
      <c r="G314" s="456"/>
      <c r="H314" s="456"/>
      <c r="I314" s="456"/>
      <c r="J314" s="413" t="s">
        <v>160</v>
      </c>
    </row>
    <row r="315" spans="1:10" s="296" customFormat="1" ht="24" customHeight="1" x14ac:dyDescent="0.25">
      <c r="A315" s="404" t="s">
        <v>120</v>
      </c>
      <c r="B315" s="405" t="s">
        <v>166</v>
      </c>
      <c r="C315" s="404" t="s">
        <v>77</v>
      </c>
      <c r="D315" s="404" t="s">
        <v>124</v>
      </c>
      <c r="E315" s="407">
        <v>8</v>
      </c>
      <c r="F315" s="404"/>
      <c r="G315" s="404"/>
      <c r="H315" s="404"/>
      <c r="I315" s="415">
        <v>21.6083</v>
      </c>
      <c r="J315" s="415">
        <v>172.8664</v>
      </c>
    </row>
    <row r="316" spans="1:10" s="296" customFormat="1" ht="20.100000000000001" customHeight="1" x14ac:dyDescent="0.25">
      <c r="A316" s="454"/>
      <c r="B316" s="454"/>
      <c r="C316" s="454"/>
      <c r="D316" s="454"/>
      <c r="E316" s="454"/>
      <c r="F316" s="454" t="s">
        <v>167</v>
      </c>
      <c r="G316" s="454"/>
      <c r="H316" s="454"/>
      <c r="I316" s="454"/>
      <c r="J316" s="416">
        <v>172.8664</v>
      </c>
    </row>
    <row r="317" spans="1:10" s="296" customFormat="1" ht="20.100000000000001" customHeight="1" x14ac:dyDescent="0.25">
      <c r="A317" s="454"/>
      <c r="B317" s="454"/>
      <c r="C317" s="454"/>
      <c r="D317" s="454"/>
      <c r="E317" s="454"/>
      <c r="F317" s="454" t="s">
        <v>168</v>
      </c>
      <c r="G317" s="454"/>
      <c r="H317" s="454"/>
      <c r="I317" s="454"/>
      <c r="J317" s="416">
        <v>0</v>
      </c>
    </row>
    <row r="318" spans="1:10" s="296" customFormat="1" ht="20.100000000000001" customHeight="1" x14ac:dyDescent="0.25">
      <c r="A318" s="454"/>
      <c r="B318" s="454"/>
      <c r="C318" s="454"/>
      <c r="D318" s="454"/>
      <c r="E318" s="454"/>
      <c r="F318" s="454" t="s">
        <v>169</v>
      </c>
      <c r="G318" s="454"/>
      <c r="H318" s="454"/>
      <c r="I318" s="454"/>
      <c r="J318" s="416">
        <v>753.16459999999995</v>
      </c>
    </row>
    <row r="319" spans="1:10" s="296" customFormat="1" ht="20.100000000000001" customHeight="1" x14ac:dyDescent="0.25">
      <c r="A319" s="454"/>
      <c r="B319" s="454"/>
      <c r="C319" s="454"/>
      <c r="D319" s="454"/>
      <c r="E319" s="454"/>
      <c r="F319" s="454" t="s">
        <v>170</v>
      </c>
      <c r="G319" s="454"/>
      <c r="H319" s="454"/>
      <c r="I319" s="454"/>
      <c r="J319" s="416">
        <v>2.3999999999999998E-3</v>
      </c>
    </row>
    <row r="320" spans="1:10" s="296" customFormat="1" ht="20.100000000000001" customHeight="1" x14ac:dyDescent="0.25">
      <c r="A320" s="454"/>
      <c r="B320" s="454"/>
      <c r="C320" s="454"/>
      <c r="D320" s="454"/>
      <c r="E320" s="454"/>
      <c r="F320" s="454" t="s">
        <v>171</v>
      </c>
      <c r="G320" s="454"/>
      <c r="H320" s="454"/>
      <c r="I320" s="454"/>
      <c r="J320" s="416">
        <v>1.2999999999999999E-3</v>
      </c>
    </row>
    <row r="321" spans="1:10" s="296" customFormat="1" ht="20.100000000000001" customHeight="1" x14ac:dyDescent="0.25">
      <c r="A321" s="454"/>
      <c r="B321" s="454"/>
      <c r="C321" s="454"/>
      <c r="D321" s="454"/>
      <c r="E321" s="454"/>
      <c r="F321" s="454" t="s">
        <v>172</v>
      </c>
      <c r="G321" s="454"/>
      <c r="H321" s="454"/>
      <c r="I321" s="454"/>
      <c r="J321" s="416">
        <v>1350</v>
      </c>
    </row>
    <row r="322" spans="1:10" s="296" customFormat="1" ht="20.100000000000001" customHeight="1" x14ac:dyDescent="0.25">
      <c r="A322" s="454"/>
      <c r="B322" s="454"/>
      <c r="C322" s="454"/>
      <c r="D322" s="454"/>
      <c r="E322" s="454"/>
      <c r="F322" s="454" t="s">
        <v>173</v>
      </c>
      <c r="G322" s="454"/>
      <c r="H322" s="454"/>
      <c r="I322" s="454"/>
      <c r="J322" s="416">
        <v>0.55789999999999995</v>
      </c>
    </row>
    <row r="323" spans="1:10" s="296" customFormat="1" ht="20.100000000000001" customHeight="1" x14ac:dyDescent="0.25">
      <c r="A323" s="412" t="s">
        <v>210</v>
      </c>
      <c r="B323" s="413" t="s">
        <v>68</v>
      </c>
      <c r="C323" s="412" t="s">
        <v>67</v>
      </c>
      <c r="D323" s="412" t="s">
        <v>54</v>
      </c>
      <c r="E323" s="413" t="s">
        <v>157</v>
      </c>
      <c r="F323" s="413" t="s">
        <v>187</v>
      </c>
      <c r="G323" s="456" t="s">
        <v>188</v>
      </c>
      <c r="H323" s="456"/>
      <c r="I323" s="456"/>
      <c r="J323" s="413" t="s">
        <v>160</v>
      </c>
    </row>
    <row r="324" spans="1:10" s="296" customFormat="1" ht="26.1" customHeight="1" x14ac:dyDescent="0.25">
      <c r="A324" s="404" t="s">
        <v>120</v>
      </c>
      <c r="B324" s="405" t="s">
        <v>75</v>
      </c>
      <c r="C324" s="404">
        <v>370</v>
      </c>
      <c r="D324" s="404" t="s">
        <v>218</v>
      </c>
      <c r="E324" s="407">
        <v>2.8999999999999998E-3</v>
      </c>
      <c r="F324" s="406" t="s">
        <v>14</v>
      </c>
      <c r="G324" s="461">
        <v>110</v>
      </c>
      <c r="H324" s="461"/>
      <c r="I324" s="460"/>
      <c r="J324" s="415">
        <v>0.31900000000000001</v>
      </c>
    </row>
    <row r="325" spans="1:10" s="296" customFormat="1" ht="20.100000000000001" customHeight="1" x14ac:dyDescent="0.25">
      <c r="A325" s="454"/>
      <c r="B325" s="454"/>
      <c r="C325" s="454"/>
      <c r="D325" s="454"/>
      <c r="E325" s="454"/>
      <c r="F325" s="454" t="s">
        <v>215</v>
      </c>
      <c r="G325" s="454"/>
      <c r="H325" s="454"/>
      <c r="I325" s="454"/>
      <c r="J325" s="416">
        <v>0.31900000000000001</v>
      </c>
    </row>
    <row r="326" spans="1:10" s="296" customFormat="1" ht="20.100000000000001" customHeight="1" x14ac:dyDescent="0.25">
      <c r="A326" s="412" t="s">
        <v>192</v>
      </c>
      <c r="B326" s="413" t="s">
        <v>68</v>
      </c>
      <c r="C326" s="412" t="s">
        <v>120</v>
      </c>
      <c r="D326" s="412" t="s">
        <v>193</v>
      </c>
      <c r="E326" s="413" t="s">
        <v>67</v>
      </c>
      <c r="F326" s="413" t="s">
        <v>157</v>
      </c>
      <c r="G326" s="414" t="s">
        <v>187</v>
      </c>
      <c r="H326" s="456" t="s">
        <v>188</v>
      </c>
      <c r="I326" s="456"/>
      <c r="J326" s="413" t="s">
        <v>160</v>
      </c>
    </row>
    <row r="327" spans="1:10" s="296" customFormat="1" ht="51.95" customHeight="1" x14ac:dyDescent="0.25">
      <c r="A327" s="399" t="s">
        <v>194</v>
      </c>
      <c r="B327" s="400" t="s">
        <v>77</v>
      </c>
      <c r="C327" s="399" t="s">
        <v>586</v>
      </c>
      <c r="D327" s="399" t="s">
        <v>612</v>
      </c>
      <c r="E327" s="400">
        <v>5914642</v>
      </c>
      <c r="F327" s="402">
        <v>4.3499999999999997E-3</v>
      </c>
      <c r="G327" s="401" t="s">
        <v>22</v>
      </c>
      <c r="H327" s="462">
        <v>5.4</v>
      </c>
      <c r="I327" s="463"/>
      <c r="J327" s="417">
        <v>2.35E-2</v>
      </c>
    </row>
    <row r="328" spans="1:10" s="296" customFormat="1" ht="20.100000000000001" customHeight="1" x14ac:dyDescent="0.25">
      <c r="A328" s="454"/>
      <c r="B328" s="454"/>
      <c r="C328" s="454"/>
      <c r="D328" s="454"/>
      <c r="E328" s="454"/>
      <c r="F328" s="454" t="s">
        <v>196</v>
      </c>
      <c r="G328" s="454"/>
      <c r="H328" s="454"/>
      <c r="I328" s="454"/>
      <c r="J328" s="416">
        <v>2.35E-2</v>
      </c>
    </row>
    <row r="329" spans="1:10" s="296" customFormat="1" ht="15" x14ac:dyDescent="0.25">
      <c r="A329" s="409"/>
      <c r="B329" s="409"/>
      <c r="C329" s="409"/>
      <c r="D329" s="409"/>
      <c r="E329" s="409"/>
      <c r="F329" s="410"/>
      <c r="G329" s="409"/>
      <c r="H329" s="410"/>
      <c r="I329" s="409"/>
      <c r="J329" s="410"/>
    </row>
    <row r="330" spans="1:10" s="296" customFormat="1" ht="15.75" thickBot="1" x14ac:dyDescent="0.3">
      <c r="A330" s="409"/>
      <c r="B330" s="409"/>
      <c r="C330" s="409"/>
      <c r="D330" s="409"/>
      <c r="E330" s="409" t="s">
        <v>116</v>
      </c>
      <c r="F330" s="410">
        <v>0.21</v>
      </c>
      <c r="G330" s="409"/>
      <c r="H330" s="455" t="s">
        <v>117</v>
      </c>
      <c r="I330" s="455"/>
      <c r="J330" s="410">
        <v>1.1100000000000001</v>
      </c>
    </row>
    <row r="331" spans="1:10" s="296" customFormat="1" ht="0.95" customHeight="1" thickTop="1" x14ac:dyDescent="0.25">
      <c r="A331" s="411"/>
      <c r="B331" s="411"/>
      <c r="C331" s="411"/>
      <c r="D331" s="411"/>
      <c r="E331" s="411"/>
      <c r="F331" s="411"/>
      <c r="G331" s="411"/>
      <c r="H331" s="411"/>
      <c r="I331" s="411"/>
      <c r="J331" s="411"/>
    </row>
    <row r="332" spans="1:10" s="296" customFormat="1" ht="18" customHeight="1" x14ac:dyDescent="0.25">
      <c r="A332" s="412" t="s">
        <v>671</v>
      </c>
      <c r="B332" s="413" t="s">
        <v>67</v>
      </c>
      <c r="C332" s="412" t="s">
        <v>68</v>
      </c>
      <c r="D332" s="412" t="s">
        <v>1</v>
      </c>
      <c r="E332" s="457" t="s">
        <v>110</v>
      </c>
      <c r="F332" s="457"/>
      <c r="G332" s="414" t="s">
        <v>2</v>
      </c>
      <c r="H332" s="413" t="s">
        <v>3</v>
      </c>
      <c r="I332" s="413" t="s">
        <v>69</v>
      </c>
      <c r="J332" s="413" t="s">
        <v>45</v>
      </c>
    </row>
    <row r="333" spans="1:10" s="296" customFormat="1" ht="26.1" customHeight="1" x14ac:dyDescent="0.25">
      <c r="A333" s="394" t="s">
        <v>111</v>
      </c>
      <c r="B333" s="395" t="s">
        <v>613</v>
      </c>
      <c r="C333" s="394" t="s">
        <v>77</v>
      </c>
      <c r="D333" s="394" t="s">
        <v>602</v>
      </c>
      <c r="E333" s="458" t="s">
        <v>94</v>
      </c>
      <c r="F333" s="458"/>
      <c r="G333" s="396" t="s">
        <v>11</v>
      </c>
      <c r="H333" s="397">
        <v>1</v>
      </c>
      <c r="I333" s="398">
        <v>69.540000000000006</v>
      </c>
      <c r="J333" s="398">
        <v>69.540000000000006</v>
      </c>
    </row>
    <row r="334" spans="1:10" s="296" customFormat="1" ht="20.100000000000001" customHeight="1" x14ac:dyDescent="0.25">
      <c r="A334" s="454"/>
      <c r="B334" s="454"/>
      <c r="C334" s="454"/>
      <c r="D334" s="454"/>
      <c r="E334" s="454"/>
      <c r="F334" s="454" t="s">
        <v>169</v>
      </c>
      <c r="G334" s="454"/>
      <c r="H334" s="454"/>
      <c r="I334" s="454"/>
      <c r="J334" s="416">
        <v>0</v>
      </c>
    </row>
    <row r="335" spans="1:10" s="296" customFormat="1" ht="20.100000000000001" customHeight="1" x14ac:dyDescent="0.25">
      <c r="A335" s="454"/>
      <c r="B335" s="454"/>
      <c r="C335" s="454"/>
      <c r="D335" s="454"/>
      <c r="E335" s="454"/>
      <c r="F335" s="454" t="s">
        <v>170</v>
      </c>
      <c r="G335" s="454"/>
      <c r="H335" s="454"/>
      <c r="I335" s="454"/>
      <c r="J335" s="416">
        <v>0</v>
      </c>
    </row>
    <row r="336" spans="1:10" s="296" customFormat="1" ht="20.100000000000001" customHeight="1" x14ac:dyDescent="0.25">
      <c r="A336" s="454"/>
      <c r="B336" s="454"/>
      <c r="C336" s="454"/>
      <c r="D336" s="454"/>
      <c r="E336" s="454"/>
      <c r="F336" s="454" t="s">
        <v>171</v>
      </c>
      <c r="G336" s="454"/>
      <c r="H336" s="454"/>
      <c r="I336" s="454"/>
      <c r="J336" s="416">
        <v>0</v>
      </c>
    </row>
    <row r="337" spans="1:10" s="296" customFormat="1" ht="20.100000000000001" customHeight="1" x14ac:dyDescent="0.25">
      <c r="A337" s="454"/>
      <c r="B337" s="454"/>
      <c r="C337" s="454"/>
      <c r="D337" s="454"/>
      <c r="E337" s="454"/>
      <c r="F337" s="454" t="s">
        <v>172</v>
      </c>
      <c r="G337" s="454"/>
      <c r="H337" s="454"/>
      <c r="I337" s="454"/>
      <c r="J337" s="416">
        <v>1</v>
      </c>
    </row>
    <row r="338" spans="1:10" s="296" customFormat="1" ht="20.100000000000001" customHeight="1" x14ac:dyDescent="0.25">
      <c r="A338" s="454"/>
      <c r="B338" s="454"/>
      <c r="C338" s="454"/>
      <c r="D338" s="454"/>
      <c r="E338" s="454"/>
      <c r="F338" s="454" t="s">
        <v>173</v>
      </c>
      <c r="G338" s="454"/>
      <c r="H338" s="454"/>
      <c r="I338" s="454"/>
      <c r="J338" s="416">
        <v>0</v>
      </c>
    </row>
    <row r="339" spans="1:10" s="296" customFormat="1" ht="20.100000000000001" customHeight="1" x14ac:dyDescent="0.25">
      <c r="A339" s="412" t="s">
        <v>185</v>
      </c>
      <c r="B339" s="413" t="s">
        <v>68</v>
      </c>
      <c r="C339" s="412" t="s">
        <v>67</v>
      </c>
      <c r="D339" s="412" t="s">
        <v>186</v>
      </c>
      <c r="E339" s="413" t="s">
        <v>157</v>
      </c>
      <c r="F339" s="413" t="s">
        <v>187</v>
      </c>
      <c r="G339" s="456" t="s">
        <v>188</v>
      </c>
      <c r="H339" s="456"/>
      <c r="I339" s="456"/>
      <c r="J339" s="413" t="s">
        <v>160</v>
      </c>
    </row>
    <row r="340" spans="1:10" s="296" customFormat="1" ht="26.1" customHeight="1" x14ac:dyDescent="0.25">
      <c r="A340" s="399" t="s">
        <v>189</v>
      </c>
      <c r="B340" s="400" t="s">
        <v>77</v>
      </c>
      <c r="C340" s="399">
        <v>1107892</v>
      </c>
      <c r="D340" s="399" t="s">
        <v>313</v>
      </c>
      <c r="E340" s="402">
        <v>4.2000000000000003E-2</v>
      </c>
      <c r="F340" s="401" t="s">
        <v>14</v>
      </c>
      <c r="G340" s="462">
        <v>459.29</v>
      </c>
      <c r="H340" s="462"/>
      <c r="I340" s="463"/>
      <c r="J340" s="417">
        <v>19.290199999999999</v>
      </c>
    </row>
    <row r="341" spans="1:10" s="296" customFormat="1" ht="39" customHeight="1" x14ac:dyDescent="0.25">
      <c r="A341" s="399" t="s">
        <v>189</v>
      </c>
      <c r="B341" s="400" t="s">
        <v>77</v>
      </c>
      <c r="C341" s="399">
        <v>2003842</v>
      </c>
      <c r="D341" s="399" t="s">
        <v>614</v>
      </c>
      <c r="E341" s="402">
        <v>5.9499999999999997E-2</v>
      </c>
      <c r="F341" s="401" t="s">
        <v>32</v>
      </c>
      <c r="G341" s="462">
        <v>67.5</v>
      </c>
      <c r="H341" s="462"/>
      <c r="I341" s="463"/>
      <c r="J341" s="417">
        <v>4.0163000000000002</v>
      </c>
    </row>
    <row r="342" spans="1:10" s="296" customFormat="1" ht="26.1" customHeight="1" x14ac:dyDescent="0.25">
      <c r="A342" s="399" t="s">
        <v>189</v>
      </c>
      <c r="B342" s="400" t="s">
        <v>77</v>
      </c>
      <c r="C342" s="399">
        <v>4805750</v>
      </c>
      <c r="D342" s="399" t="s">
        <v>314</v>
      </c>
      <c r="E342" s="402">
        <v>0.03</v>
      </c>
      <c r="F342" s="401" t="s">
        <v>14</v>
      </c>
      <c r="G342" s="462">
        <v>43.83</v>
      </c>
      <c r="H342" s="462"/>
      <c r="I342" s="463"/>
      <c r="J342" s="417">
        <v>1.3149</v>
      </c>
    </row>
    <row r="343" spans="1:10" s="296" customFormat="1" ht="39" customHeight="1" x14ac:dyDescent="0.25">
      <c r="A343" s="399" t="s">
        <v>189</v>
      </c>
      <c r="B343" s="400" t="s">
        <v>77</v>
      </c>
      <c r="C343" s="399">
        <v>3103302</v>
      </c>
      <c r="D343" s="399" t="s">
        <v>615</v>
      </c>
      <c r="E343" s="402">
        <v>0.54749999999999999</v>
      </c>
      <c r="F343" s="401" t="s">
        <v>7</v>
      </c>
      <c r="G343" s="462">
        <v>82.04</v>
      </c>
      <c r="H343" s="462"/>
      <c r="I343" s="463"/>
      <c r="J343" s="417">
        <v>44.916899999999998</v>
      </c>
    </row>
    <row r="344" spans="1:10" s="296" customFormat="1" ht="20.100000000000001" customHeight="1" x14ac:dyDescent="0.25">
      <c r="A344" s="454"/>
      <c r="B344" s="454"/>
      <c r="C344" s="454"/>
      <c r="D344" s="454"/>
      <c r="E344" s="454"/>
      <c r="F344" s="454" t="s">
        <v>191</v>
      </c>
      <c r="G344" s="454"/>
      <c r="H344" s="454"/>
      <c r="I344" s="454"/>
      <c r="J344" s="416">
        <v>69.538300000000007</v>
      </c>
    </row>
    <row r="345" spans="1:10" s="296" customFormat="1" ht="15" x14ac:dyDescent="0.25">
      <c r="A345" s="409"/>
      <c r="B345" s="409"/>
      <c r="C345" s="409"/>
      <c r="D345" s="409"/>
      <c r="E345" s="409"/>
      <c r="F345" s="410"/>
      <c r="G345" s="409"/>
      <c r="H345" s="410"/>
      <c r="I345" s="409"/>
      <c r="J345" s="410"/>
    </row>
    <row r="346" spans="1:10" s="296" customFormat="1" ht="15.75" thickBot="1" x14ac:dyDescent="0.3">
      <c r="A346" s="409"/>
      <c r="B346" s="409"/>
      <c r="C346" s="409"/>
      <c r="D346" s="409"/>
      <c r="E346" s="409" t="s">
        <v>116</v>
      </c>
      <c r="F346" s="410">
        <v>16.260000000000002</v>
      </c>
      <c r="G346" s="409"/>
      <c r="H346" s="455" t="s">
        <v>117</v>
      </c>
      <c r="I346" s="455"/>
      <c r="J346" s="410">
        <v>85.8</v>
      </c>
    </row>
    <row r="347" spans="1:10" s="296" customFormat="1" ht="0.95" customHeight="1" thickTop="1" x14ac:dyDescent="0.25">
      <c r="A347" s="411"/>
      <c r="B347" s="411"/>
      <c r="C347" s="411"/>
      <c r="D347" s="411"/>
      <c r="E347" s="411"/>
      <c r="F347" s="411"/>
      <c r="G347" s="411"/>
      <c r="H347" s="411"/>
      <c r="I347" s="411"/>
      <c r="J347" s="411"/>
    </row>
    <row r="348" spans="1:10" s="296" customFormat="1" ht="18" customHeight="1" x14ac:dyDescent="0.25">
      <c r="A348" s="412" t="s">
        <v>672</v>
      </c>
      <c r="B348" s="413" t="s">
        <v>67</v>
      </c>
      <c r="C348" s="412" t="s">
        <v>68</v>
      </c>
      <c r="D348" s="412" t="s">
        <v>1</v>
      </c>
      <c r="E348" s="457" t="s">
        <v>110</v>
      </c>
      <c r="F348" s="457"/>
      <c r="G348" s="414" t="s">
        <v>2</v>
      </c>
      <c r="H348" s="413" t="s">
        <v>3</v>
      </c>
      <c r="I348" s="413" t="s">
        <v>69</v>
      </c>
      <c r="J348" s="413" t="s">
        <v>45</v>
      </c>
    </row>
    <row r="349" spans="1:10" s="296" customFormat="1" ht="24" customHeight="1" x14ac:dyDescent="0.25">
      <c r="A349" s="394" t="s">
        <v>111</v>
      </c>
      <c r="B349" s="395" t="s">
        <v>534</v>
      </c>
      <c r="C349" s="394" t="s">
        <v>77</v>
      </c>
      <c r="D349" s="394" t="s">
        <v>616</v>
      </c>
      <c r="E349" s="458" t="s">
        <v>94</v>
      </c>
      <c r="F349" s="458"/>
      <c r="G349" s="396" t="s">
        <v>14</v>
      </c>
      <c r="H349" s="397">
        <v>1</v>
      </c>
      <c r="I349" s="398">
        <v>16.73</v>
      </c>
      <c r="J349" s="398">
        <v>16.73</v>
      </c>
    </row>
    <row r="350" spans="1:10" s="296" customFormat="1" ht="15" customHeight="1" x14ac:dyDescent="0.25">
      <c r="A350" s="457" t="s">
        <v>155</v>
      </c>
      <c r="B350" s="456" t="s">
        <v>67</v>
      </c>
      <c r="C350" s="457" t="s">
        <v>68</v>
      </c>
      <c r="D350" s="457" t="s">
        <v>156</v>
      </c>
      <c r="E350" s="456" t="s">
        <v>157</v>
      </c>
      <c r="F350" s="459" t="s">
        <v>158</v>
      </c>
      <c r="G350" s="456"/>
      <c r="H350" s="459" t="s">
        <v>159</v>
      </c>
      <c r="I350" s="456"/>
      <c r="J350" s="456" t="s">
        <v>160</v>
      </c>
    </row>
    <row r="351" spans="1:10" s="296" customFormat="1" ht="15" customHeight="1" x14ac:dyDescent="0.25">
      <c r="A351" s="456"/>
      <c r="B351" s="456"/>
      <c r="C351" s="456"/>
      <c r="D351" s="456"/>
      <c r="E351" s="456"/>
      <c r="F351" s="413" t="s">
        <v>161</v>
      </c>
      <c r="G351" s="413" t="s">
        <v>162</v>
      </c>
      <c r="H351" s="413" t="s">
        <v>161</v>
      </c>
      <c r="I351" s="413" t="s">
        <v>162</v>
      </c>
      <c r="J351" s="456"/>
    </row>
    <row r="352" spans="1:10" s="296" customFormat="1" ht="26.1" customHeight="1" x14ac:dyDescent="0.25">
      <c r="A352" s="404" t="s">
        <v>120</v>
      </c>
      <c r="B352" s="405" t="s">
        <v>535</v>
      </c>
      <c r="C352" s="404" t="s">
        <v>77</v>
      </c>
      <c r="D352" s="404" t="s">
        <v>536</v>
      </c>
      <c r="E352" s="407">
        <v>1</v>
      </c>
      <c r="F352" s="408">
        <v>1</v>
      </c>
      <c r="G352" s="408">
        <v>0</v>
      </c>
      <c r="H352" s="415">
        <v>8.8467000000000002</v>
      </c>
      <c r="I352" s="415">
        <v>1.0783</v>
      </c>
      <c r="J352" s="415">
        <v>8.8467000000000002</v>
      </c>
    </row>
    <row r="353" spans="1:10" s="296" customFormat="1" ht="20.100000000000001" customHeight="1" x14ac:dyDescent="0.25">
      <c r="A353" s="454"/>
      <c r="B353" s="454"/>
      <c r="C353" s="454"/>
      <c r="D353" s="454"/>
      <c r="E353" s="454"/>
      <c r="F353" s="454" t="s">
        <v>163</v>
      </c>
      <c r="G353" s="454"/>
      <c r="H353" s="454"/>
      <c r="I353" s="454"/>
      <c r="J353" s="416">
        <v>8.8467000000000002</v>
      </c>
    </row>
    <row r="354" spans="1:10" s="296" customFormat="1" ht="20.100000000000001" customHeight="1" x14ac:dyDescent="0.25">
      <c r="A354" s="412" t="s">
        <v>164</v>
      </c>
      <c r="B354" s="413" t="s">
        <v>67</v>
      </c>
      <c r="C354" s="412" t="s">
        <v>68</v>
      </c>
      <c r="D354" s="412" t="s">
        <v>125</v>
      </c>
      <c r="E354" s="413" t="s">
        <v>157</v>
      </c>
      <c r="F354" s="456" t="s">
        <v>165</v>
      </c>
      <c r="G354" s="456"/>
      <c r="H354" s="456"/>
      <c r="I354" s="456"/>
      <c r="J354" s="413" t="s">
        <v>160</v>
      </c>
    </row>
    <row r="355" spans="1:10" s="296" customFormat="1" ht="24" customHeight="1" x14ac:dyDescent="0.25">
      <c r="A355" s="404" t="s">
        <v>120</v>
      </c>
      <c r="B355" s="405" t="s">
        <v>166</v>
      </c>
      <c r="C355" s="404" t="s">
        <v>77</v>
      </c>
      <c r="D355" s="404" t="s">
        <v>124</v>
      </c>
      <c r="E355" s="407">
        <v>2</v>
      </c>
      <c r="F355" s="404"/>
      <c r="G355" s="404"/>
      <c r="H355" s="404"/>
      <c r="I355" s="415">
        <v>21.6083</v>
      </c>
      <c r="J355" s="415">
        <v>43.2166</v>
      </c>
    </row>
    <row r="356" spans="1:10" s="296" customFormat="1" ht="20.100000000000001" customHeight="1" x14ac:dyDescent="0.25">
      <c r="A356" s="454"/>
      <c r="B356" s="454"/>
      <c r="C356" s="454"/>
      <c r="D356" s="454"/>
      <c r="E356" s="454"/>
      <c r="F356" s="454" t="s">
        <v>167</v>
      </c>
      <c r="G356" s="454"/>
      <c r="H356" s="454"/>
      <c r="I356" s="454"/>
      <c r="J356" s="416">
        <v>43.2166</v>
      </c>
    </row>
    <row r="357" spans="1:10" s="296" customFormat="1" ht="20.100000000000001" customHeight="1" x14ac:dyDescent="0.25">
      <c r="A357" s="454"/>
      <c r="B357" s="454"/>
      <c r="C357" s="454"/>
      <c r="D357" s="454"/>
      <c r="E357" s="454"/>
      <c r="F357" s="454" t="s">
        <v>168</v>
      </c>
      <c r="G357" s="454"/>
      <c r="H357" s="454"/>
      <c r="I357" s="454"/>
      <c r="J357" s="416">
        <v>0</v>
      </c>
    </row>
    <row r="358" spans="1:10" s="296" customFormat="1" ht="20.100000000000001" customHeight="1" x14ac:dyDescent="0.25">
      <c r="A358" s="454"/>
      <c r="B358" s="454"/>
      <c r="C358" s="454"/>
      <c r="D358" s="454"/>
      <c r="E358" s="454"/>
      <c r="F358" s="454" t="s">
        <v>169</v>
      </c>
      <c r="G358" s="454"/>
      <c r="H358" s="454"/>
      <c r="I358" s="454"/>
      <c r="J358" s="416">
        <v>52.063299999999998</v>
      </c>
    </row>
    <row r="359" spans="1:10" s="296" customFormat="1" ht="20.100000000000001" customHeight="1" x14ac:dyDescent="0.25">
      <c r="A359" s="454"/>
      <c r="B359" s="454"/>
      <c r="C359" s="454"/>
      <c r="D359" s="454"/>
      <c r="E359" s="454"/>
      <c r="F359" s="454" t="s">
        <v>170</v>
      </c>
      <c r="G359" s="454"/>
      <c r="H359" s="454"/>
      <c r="I359" s="454"/>
      <c r="J359" s="416">
        <v>0</v>
      </c>
    </row>
    <row r="360" spans="1:10" s="296" customFormat="1" ht="20.100000000000001" customHeight="1" x14ac:dyDescent="0.25">
      <c r="A360" s="454"/>
      <c r="B360" s="454"/>
      <c r="C360" s="454"/>
      <c r="D360" s="454"/>
      <c r="E360" s="454"/>
      <c r="F360" s="454" t="s">
        <v>171</v>
      </c>
      <c r="G360" s="454"/>
      <c r="H360" s="454"/>
      <c r="I360" s="454"/>
      <c r="J360" s="416">
        <v>0</v>
      </c>
    </row>
    <row r="361" spans="1:10" s="296" customFormat="1" ht="20.100000000000001" customHeight="1" x14ac:dyDescent="0.25">
      <c r="A361" s="454"/>
      <c r="B361" s="454"/>
      <c r="C361" s="454"/>
      <c r="D361" s="454"/>
      <c r="E361" s="454"/>
      <c r="F361" s="454" t="s">
        <v>172</v>
      </c>
      <c r="G361" s="454"/>
      <c r="H361" s="454"/>
      <c r="I361" s="454"/>
      <c r="J361" s="416">
        <v>3.1124999999999998</v>
      </c>
    </row>
    <row r="362" spans="1:10" s="296" customFormat="1" ht="20.100000000000001" customHeight="1" x14ac:dyDescent="0.25">
      <c r="A362" s="454"/>
      <c r="B362" s="454"/>
      <c r="C362" s="454"/>
      <c r="D362" s="454"/>
      <c r="E362" s="454"/>
      <c r="F362" s="454" t="s">
        <v>173</v>
      </c>
      <c r="G362" s="454"/>
      <c r="H362" s="454"/>
      <c r="I362" s="454"/>
      <c r="J362" s="416">
        <v>16.7272</v>
      </c>
    </row>
    <row r="363" spans="1:10" s="296" customFormat="1" ht="15" x14ac:dyDescent="0.25">
      <c r="A363" s="409"/>
      <c r="B363" s="409"/>
      <c r="C363" s="409"/>
      <c r="D363" s="409"/>
      <c r="E363" s="409"/>
      <c r="F363" s="410"/>
      <c r="G363" s="409"/>
      <c r="H363" s="410"/>
      <c r="I363" s="409"/>
      <c r="J363" s="410"/>
    </row>
    <row r="364" spans="1:10" s="296" customFormat="1" ht="15.75" thickBot="1" x14ac:dyDescent="0.3">
      <c r="A364" s="409"/>
      <c r="B364" s="409"/>
      <c r="C364" s="409"/>
      <c r="D364" s="409"/>
      <c r="E364" s="409" t="s">
        <v>116</v>
      </c>
      <c r="F364" s="410">
        <v>3.91</v>
      </c>
      <c r="G364" s="409"/>
      <c r="H364" s="455" t="s">
        <v>117</v>
      </c>
      <c r="I364" s="455"/>
      <c r="J364" s="410">
        <v>20.64</v>
      </c>
    </row>
    <row r="365" spans="1:10" s="296" customFormat="1" ht="0.95" customHeight="1" thickTop="1" x14ac:dyDescent="0.25">
      <c r="A365" s="411"/>
      <c r="B365" s="411"/>
      <c r="C365" s="411"/>
      <c r="D365" s="411"/>
      <c r="E365" s="411"/>
      <c r="F365" s="411"/>
      <c r="G365" s="411"/>
      <c r="H365" s="411"/>
      <c r="I365" s="411"/>
      <c r="J365" s="411"/>
    </row>
    <row r="366" spans="1:10" s="296" customFormat="1" ht="18" customHeight="1" x14ac:dyDescent="0.25">
      <c r="A366" s="412" t="s">
        <v>673</v>
      </c>
      <c r="B366" s="413" t="s">
        <v>67</v>
      </c>
      <c r="C366" s="412" t="s">
        <v>68</v>
      </c>
      <c r="D366" s="412" t="s">
        <v>1</v>
      </c>
      <c r="E366" s="457" t="s">
        <v>110</v>
      </c>
      <c r="F366" s="457"/>
      <c r="G366" s="414" t="s">
        <v>2</v>
      </c>
      <c r="H366" s="413" t="s">
        <v>3</v>
      </c>
      <c r="I366" s="413" t="s">
        <v>69</v>
      </c>
      <c r="J366" s="413" t="s">
        <v>45</v>
      </c>
    </row>
    <row r="367" spans="1:10" s="296" customFormat="1" ht="39" customHeight="1" x14ac:dyDescent="0.25">
      <c r="A367" s="394" t="s">
        <v>111</v>
      </c>
      <c r="B367" s="395" t="s">
        <v>315</v>
      </c>
      <c r="C367" s="394" t="s">
        <v>77</v>
      </c>
      <c r="D367" s="394" t="s">
        <v>269</v>
      </c>
      <c r="E367" s="458" t="s">
        <v>94</v>
      </c>
      <c r="F367" s="458"/>
      <c r="G367" s="396" t="s">
        <v>224</v>
      </c>
      <c r="H367" s="397">
        <v>1</v>
      </c>
      <c r="I367" s="398">
        <v>254.09</v>
      </c>
      <c r="J367" s="398">
        <f>J381+J384</f>
        <v>253.95158800000002</v>
      </c>
    </row>
    <row r="368" spans="1:10" s="296" customFormat="1" ht="15" customHeight="1" x14ac:dyDescent="0.25">
      <c r="A368" s="457" t="s">
        <v>155</v>
      </c>
      <c r="B368" s="456" t="s">
        <v>67</v>
      </c>
      <c r="C368" s="457" t="s">
        <v>68</v>
      </c>
      <c r="D368" s="457" t="s">
        <v>156</v>
      </c>
      <c r="E368" s="456" t="s">
        <v>157</v>
      </c>
      <c r="F368" s="459" t="s">
        <v>158</v>
      </c>
      <c r="G368" s="456"/>
      <c r="H368" s="459" t="s">
        <v>159</v>
      </c>
      <c r="I368" s="456"/>
      <c r="J368" s="456" t="s">
        <v>160</v>
      </c>
    </row>
    <row r="369" spans="1:10" s="296" customFormat="1" ht="15" customHeight="1" x14ac:dyDescent="0.25">
      <c r="A369" s="456"/>
      <c r="B369" s="456"/>
      <c r="C369" s="456"/>
      <c r="D369" s="456"/>
      <c r="E369" s="456"/>
      <c r="F369" s="413" t="s">
        <v>161</v>
      </c>
      <c r="G369" s="413" t="s">
        <v>162</v>
      </c>
      <c r="H369" s="413" t="s">
        <v>161</v>
      </c>
      <c r="I369" s="413" t="s">
        <v>162</v>
      </c>
      <c r="J369" s="456"/>
    </row>
    <row r="370" spans="1:10" s="296" customFormat="1" ht="26.1" customHeight="1" x14ac:dyDescent="0.25">
      <c r="A370" s="404" t="s">
        <v>120</v>
      </c>
      <c r="B370" s="405" t="s">
        <v>316</v>
      </c>
      <c r="C370" s="404" t="s">
        <v>77</v>
      </c>
      <c r="D370" s="404" t="s">
        <v>317</v>
      </c>
      <c r="E370" s="407">
        <v>1</v>
      </c>
      <c r="F370" s="408">
        <v>0.3</v>
      </c>
      <c r="G370" s="408">
        <v>0.7</v>
      </c>
      <c r="H370" s="415">
        <v>143.74100000000001</v>
      </c>
      <c r="I370" s="415">
        <v>63.810400000000001</v>
      </c>
      <c r="J370" s="415">
        <v>87.789599999999993</v>
      </c>
    </row>
    <row r="371" spans="1:10" s="296" customFormat="1" ht="20.100000000000001" customHeight="1" x14ac:dyDescent="0.25">
      <c r="A371" s="454"/>
      <c r="B371" s="454"/>
      <c r="C371" s="454"/>
      <c r="D371" s="454"/>
      <c r="E371" s="454"/>
      <c r="F371" s="454" t="s">
        <v>163</v>
      </c>
      <c r="G371" s="454"/>
      <c r="H371" s="454"/>
      <c r="I371" s="454"/>
      <c r="J371" s="416">
        <v>87.789599999999993</v>
      </c>
    </row>
    <row r="372" spans="1:10" s="296" customFormat="1" ht="20.100000000000001" customHeight="1" x14ac:dyDescent="0.25">
      <c r="A372" s="412" t="s">
        <v>164</v>
      </c>
      <c r="B372" s="413" t="s">
        <v>67</v>
      </c>
      <c r="C372" s="412" t="s">
        <v>68</v>
      </c>
      <c r="D372" s="412" t="s">
        <v>125</v>
      </c>
      <c r="E372" s="413" t="s">
        <v>157</v>
      </c>
      <c r="F372" s="456" t="s">
        <v>165</v>
      </c>
      <c r="G372" s="456"/>
      <c r="H372" s="456"/>
      <c r="I372" s="456"/>
      <c r="J372" s="413" t="s">
        <v>160</v>
      </c>
    </row>
    <row r="373" spans="1:10" s="296" customFormat="1" ht="24" customHeight="1" x14ac:dyDescent="0.25">
      <c r="A373" s="404" t="s">
        <v>120</v>
      </c>
      <c r="B373" s="405" t="s">
        <v>318</v>
      </c>
      <c r="C373" s="404" t="s">
        <v>77</v>
      </c>
      <c r="D373" s="404" t="s">
        <v>319</v>
      </c>
      <c r="E373" s="407">
        <v>1</v>
      </c>
      <c r="F373" s="404"/>
      <c r="G373" s="404"/>
      <c r="H373" s="404"/>
      <c r="I373" s="415">
        <v>31.332599999999999</v>
      </c>
      <c r="J373" s="415">
        <v>31.332599999999999</v>
      </c>
    </row>
    <row r="374" spans="1:10" s="296" customFormat="1" ht="24" customHeight="1" x14ac:dyDescent="0.25">
      <c r="A374" s="404" t="s">
        <v>120</v>
      </c>
      <c r="B374" s="405" t="s">
        <v>166</v>
      </c>
      <c r="C374" s="404" t="s">
        <v>77</v>
      </c>
      <c r="D374" s="404" t="s">
        <v>124</v>
      </c>
      <c r="E374" s="407">
        <v>2</v>
      </c>
      <c r="F374" s="404"/>
      <c r="G374" s="404"/>
      <c r="H374" s="404"/>
      <c r="I374" s="415">
        <v>21.6083</v>
      </c>
      <c r="J374" s="415">
        <v>43.2166</v>
      </c>
    </row>
    <row r="375" spans="1:10" s="296" customFormat="1" ht="20.100000000000001" customHeight="1" x14ac:dyDescent="0.25">
      <c r="A375" s="454"/>
      <c r="B375" s="454"/>
      <c r="C375" s="454"/>
      <c r="D375" s="454"/>
      <c r="E375" s="454"/>
      <c r="F375" s="454" t="s">
        <v>167</v>
      </c>
      <c r="G375" s="454"/>
      <c r="H375" s="454"/>
      <c r="I375" s="454"/>
      <c r="J375" s="416">
        <v>74.549199999999999</v>
      </c>
    </row>
    <row r="376" spans="1:10" s="296" customFormat="1" ht="20.100000000000001" customHeight="1" x14ac:dyDescent="0.25">
      <c r="A376" s="454"/>
      <c r="B376" s="454"/>
      <c r="C376" s="454"/>
      <c r="D376" s="454"/>
      <c r="E376" s="454"/>
      <c r="F376" s="454" t="s">
        <v>168</v>
      </c>
      <c r="G376" s="454"/>
      <c r="H376" s="454"/>
      <c r="I376" s="454"/>
      <c r="J376" s="416">
        <v>0</v>
      </c>
    </row>
    <row r="377" spans="1:10" s="296" customFormat="1" ht="20.100000000000001" customHeight="1" x14ac:dyDescent="0.25">
      <c r="A377" s="454"/>
      <c r="B377" s="454"/>
      <c r="C377" s="454"/>
      <c r="D377" s="454"/>
      <c r="E377" s="454"/>
      <c r="F377" s="454" t="s">
        <v>169</v>
      </c>
      <c r="G377" s="454"/>
      <c r="H377" s="454"/>
      <c r="I377" s="454"/>
      <c r="J377" s="416">
        <v>162.33879999999999</v>
      </c>
    </row>
    <row r="378" spans="1:10" s="296" customFormat="1" ht="20.100000000000001" customHeight="1" x14ac:dyDescent="0.25">
      <c r="A378" s="454"/>
      <c r="B378" s="454"/>
      <c r="C378" s="454"/>
      <c r="D378" s="454"/>
      <c r="E378" s="454"/>
      <c r="F378" s="454" t="s">
        <v>170</v>
      </c>
      <c r="G378" s="454"/>
      <c r="H378" s="454"/>
      <c r="I378" s="454"/>
      <c r="J378" s="416">
        <v>0</v>
      </c>
    </row>
    <row r="379" spans="1:10" s="296" customFormat="1" ht="20.100000000000001" customHeight="1" x14ac:dyDescent="0.25">
      <c r="A379" s="454"/>
      <c r="B379" s="454"/>
      <c r="C379" s="454"/>
      <c r="D379" s="454"/>
      <c r="E379" s="454"/>
      <c r="F379" s="454" t="s">
        <v>171</v>
      </c>
      <c r="G379" s="454"/>
      <c r="H379" s="454"/>
      <c r="I379" s="454"/>
      <c r="J379" s="416">
        <v>0</v>
      </c>
    </row>
    <row r="380" spans="1:10" s="296" customFormat="1" ht="20.100000000000001" customHeight="1" x14ac:dyDescent="0.25">
      <c r="A380" s="454"/>
      <c r="B380" s="454"/>
      <c r="C380" s="454"/>
      <c r="D380" s="454"/>
      <c r="E380" s="454"/>
      <c r="F380" s="454" t="s">
        <v>172</v>
      </c>
      <c r="G380" s="454"/>
      <c r="H380" s="454"/>
      <c r="I380" s="454"/>
      <c r="J380" s="416">
        <v>3</v>
      </c>
    </row>
    <row r="381" spans="1:10" s="296" customFormat="1" ht="20.100000000000001" customHeight="1" x14ac:dyDescent="0.25">
      <c r="A381" s="454"/>
      <c r="B381" s="454"/>
      <c r="C381" s="454"/>
      <c r="D381" s="454"/>
      <c r="E381" s="454"/>
      <c r="F381" s="454" t="s">
        <v>173</v>
      </c>
      <c r="G381" s="454"/>
      <c r="H381" s="454"/>
      <c r="I381" s="454"/>
      <c r="J381" s="416">
        <v>54.112900000000003</v>
      </c>
    </row>
    <row r="382" spans="1:10" s="296" customFormat="1" ht="20.100000000000001" customHeight="1" x14ac:dyDescent="0.25">
      <c r="A382" s="412" t="s">
        <v>185</v>
      </c>
      <c r="B382" s="413" t="s">
        <v>68</v>
      </c>
      <c r="C382" s="412" t="s">
        <v>67</v>
      </c>
      <c r="D382" s="412" t="s">
        <v>186</v>
      </c>
      <c r="E382" s="413" t="s">
        <v>157</v>
      </c>
      <c r="F382" s="413" t="s">
        <v>187</v>
      </c>
      <c r="G382" s="456" t="s">
        <v>188</v>
      </c>
      <c r="H382" s="456"/>
      <c r="I382" s="456"/>
      <c r="J382" s="413" t="s">
        <v>160</v>
      </c>
    </row>
    <row r="383" spans="1:10" s="296" customFormat="1" ht="26.1" customHeight="1" x14ac:dyDescent="0.25">
      <c r="A383" s="399" t="s">
        <v>189</v>
      </c>
      <c r="B383" s="400" t="s">
        <v>77</v>
      </c>
      <c r="C383" s="399">
        <v>5213414</v>
      </c>
      <c r="D383" s="399" t="s">
        <v>320</v>
      </c>
      <c r="E383" s="402">
        <v>0.35993999999999998</v>
      </c>
      <c r="F383" s="401" t="s">
        <v>7</v>
      </c>
      <c r="G383" s="462">
        <v>555.20000000000005</v>
      </c>
      <c r="H383" s="462"/>
      <c r="I383" s="463"/>
      <c r="J383" s="417">
        <f>E383*G383</f>
        <v>199.83868800000002</v>
      </c>
    </row>
    <row r="384" spans="1:10" s="296" customFormat="1" ht="20.100000000000001" customHeight="1" x14ac:dyDescent="0.25">
      <c r="A384" s="454"/>
      <c r="B384" s="454"/>
      <c r="C384" s="454"/>
      <c r="D384" s="454"/>
      <c r="E384" s="454"/>
      <c r="F384" s="454" t="s">
        <v>191</v>
      </c>
      <c r="G384" s="454"/>
      <c r="H384" s="454"/>
      <c r="I384" s="454"/>
      <c r="J384" s="416">
        <f>J383</f>
        <v>199.83868800000002</v>
      </c>
    </row>
    <row r="385" spans="1:10" s="296" customFormat="1" ht="15" x14ac:dyDescent="0.25">
      <c r="A385" s="409"/>
      <c r="B385" s="409"/>
      <c r="C385" s="409"/>
      <c r="D385" s="409"/>
      <c r="E385" s="409"/>
      <c r="F385" s="410"/>
      <c r="G385" s="409"/>
      <c r="H385" s="410"/>
      <c r="I385" s="409"/>
      <c r="J385" s="410"/>
    </row>
    <row r="386" spans="1:10" s="296" customFormat="1" ht="15.75" thickBot="1" x14ac:dyDescent="0.3">
      <c r="A386" s="409"/>
      <c r="B386" s="409"/>
      <c r="C386" s="409"/>
      <c r="D386" s="409"/>
      <c r="E386" s="409" t="s">
        <v>116</v>
      </c>
      <c r="F386" s="410">
        <f>TRUNC(J367*23.39%,2)</f>
        <v>59.39</v>
      </c>
      <c r="G386" s="409"/>
      <c r="H386" s="455" t="s">
        <v>117</v>
      </c>
      <c r="I386" s="455"/>
      <c r="J386" s="410">
        <f>F386+J367</f>
        <v>313.341588</v>
      </c>
    </row>
    <row r="387" spans="1:10" s="296" customFormat="1" ht="0.95" customHeight="1" thickTop="1" x14ac:dyDescent="0.25">
      <c r="A387" s="411"/>
      <c r="B387" s="411"/>
      <c r="C387" s="411"/>
      <c r="D387" s="411"/>
      <c r="E387" s="411"/>
      <c r="F387" s="411"/>
      <c r="G387" s="411"/>
      <c r="H387" s="411"/>
      <c r="I387" s="411"/>
      <c r="J387" s="411"/>
    </row>
    <row r="388" spans="1:10" s="296" customFormat="1" ht="18" customHeight="1" x14ac:dyDescent="0.25">
      <c r="A388" s="412" t="s">
        <v>674</v>
      </c>
      <c r="B388" s="413" t="s">
        <v>67</v>
      </c>
      <c r="C388" s="412" t="s">
        <v>68</v>
      </c>
      <c r="D388" s="412" t="s">
        <v>1</v>
      </c>
      <c r="E388" s="457" t="s">
        <v>110</v>
      </c>
      <c r="F388" s="457"/>
      <c r="G388" s="414" t="s">
        <v>2</v>
      </c>
      <c r="H388" s="413" t="s">
        <v>3</v>
      </c>
      <c r="I388" s="413" t="s">
        <v>69</v>
      </c>
      <c r="J388" s="413" t="s">
        <v>45</v>
      </c>
    </row>
    <row r="389" spans="1:10" s="296" customFormat="1" ht="39" customHeight="1" x14ac:dyDescent="0.25">
      <c r="A389" s="394" t="s">
        <v>111</v>
      </c>
      <c r="B389" s="395" t="s">
        <v>321</v>
      </c>
      <c r="C389" s="394" t="s">
        <v>77</v>
      </c>
      <c r="D389" s="394" t="s">
        <v>271</v>
      </c>
      <c r="E389" s="458" t="s">
        <v>94</v>
      </c>
      <c r="F389" s="458"/>
      <c r="G389" s="396" t="s">
        <v>224</v>
      </c>
      <c r="H389" s="397">
        <v>1</v>
      </c>
      <c r="I389" s="398">
        <f>J389</f>
        <v>434.03</v>
      </c>
      <c r="J389" s="398">
        <f>TRUNC(J403+J407+J411,2)</f>
        <v>434.03</v>
      </c>
    </row>
    <row r="390" spans="1:10" s="296" customFormat="1" ht="15" customHeight="1" x14ac:dyDescent="0.25">
      <c r="A390" s="457" t="s">
        <v>155</v>
      </c>
      <c r="B390" s="456" t="s">
        <v>67</v>
      </c>
      <c r="C390" s="457" t="s">
        <v>68</v>
      </c>
      <c r="D390" s="457" t="s">
        <v>156</v>
      </c>
      <c r="E390" s="456" t="s">
        <v>157</v>
      </c>
      <c r="F390" s="459" t="s">
        <v>158</v>
      </c>
      <c r="G390" s="456"/>
      <c r="H390" s="459" t="s">
        <v>159</v>
      </c>
      <c r="I390" s="456"/>
      <c r="J390" s="456" t="s">
        <v>160</v>
      </c>
    </row>
    <row r="391" spans="1:10" s="296" customFormat="1" ht="15" customHeight="1" x14ac:dyDescent="0.25">
      <c r="A391" s="456"/>
      <c r="B391" s="456"/>
      <c r="C391" s="456"/>
      <c r="D391" s="456"/>
      <c r="E391" s="456"/>
      <c r="F391" s="413" t="s">
        <v>161</v>
      </c>
      <c r="G391" s="413" t="s">
        <v>162</v>
      </c>
      <c r="H391" s="413" t="s">
        <v>161</v>
      </c>
      <c r="I391" s="413" t="s">
        <v>162</v>
      </c>
      <c r="J391" s="456"/>
    </row>
    <row r="392" spans="1:10" s="296" customFormat="1" ht="26.1" customHeight="1" x14ac:dyDescent="0.25">
      <c r="A392" s="404" t="s">
        <v>120</v>
      </c>
      <c r="B392" s="405" t="s">
        <v>316</v>
      </c>
      <c r="C392" s="404" t="s">
        <v>77</v>
      </c>
      <c r="D392" s="404" t="s">
        <v>317</v>
      </c>
      <c r="E392" s="407">
        <v>1</v>
      </c>
      <c r="F392" s="408">
        <v>0.3</v>
      </c>
      <c r="G392" s="408">
        <v>0.7</v>
      </c>
      <c r="H392" s="415">
        <v>143.74100000000001</v>
      </c>
      <c r="I392" s="415">
        <v>63.810400000000001</v>
      </c>
      <c r="J392" s="415">
        <v>87.789599999999993</v>
      </c>
    </row>
    <row r="393" spans="1:10" s="296" customFormat="1" ht="20.100000000000001" customHeight="1" x14ac:dyDescent="0.25">
      <c r="A393" s="454"/>
      <c r="B393" s="454"/>
      <c r="C393" s="454"/>
      <c r="D393" s="454"/>
      <c r="E393" s="454"/>
      <c r="F393" s="454" t="s">
        <v>163</v>
      </c>
      <c r="G393" s="454"/>
      <c r="H393" s="454"/>
      <c r="I393" s="454"/>
      <c r="J393" s="416">
        <v>87.789599999999993</v>
      </c>
    </row>
    <row r="394" spans="1:10" s="296" customFormat="1" ht="20.100000000000001" customHeight="1" x14ac:dyDescent="0.25">
      <c r="A394" s="412" t="s">
        <v>164</v>
      </c>
      <c r="B394" s="413" t="s">
        <v>67</v>
      </c>
      <c r="C394" s="412" t="s">
        <v>68</v>
      </c>
      <c r="D394" s="412" t="s">
        <v>125</v>
      </c>
      <c r="E394" s="413" t="s">
        <v>157</v>
      </c>
      <c r="F394" s="456" t="s">
        <v>165</v>
      </c>
      <c r="G394" s="456"/>
      <c r="H394" s="456"/>
      <c r="I394" s="456"/>
      <c r="J394" s="413" t="s">
        <v>160</v>
      </c>
    </row>
    <row r="395" spans="1:10" s="296" customFormat="1" ht="24" customHeight="1" x14ac:dyDescent="0.25">
      <c r="A395" s="404" t="s">
        <v>120</v>
      </c>
      <c r="B395" s="405" t="s">
        <v>318</v>
      </c>
      <c r="C395" s="404" t="s">
        <v>77</v>
      </c>
      <c r="D395" s="404" t="s">
        <v>319</v>
      </c>
      <c r="E395" s="407">
        <v>1</v>
      </c>
      <c r="F395" s="404"/>
      <c r="G395" s="404"/>
      <c r="H395" s="404"/>
      <c r="I395" s="415">
        <v>31.332599999999999</v>
      </c>
      <c r="J395" s="415">
        <v>31.332599999999999</v>
      </c>
    </row>
    <row r="396" spans="1:10" s="296" customFormat="1" ht="24" customHeight="1" x14ac:dyDescent="0.25">
      <c r="A396" s="404" t="s">
        <v>120</v>
      </c>
      <c r="B396" s="405" t="s">
        <v>166</v>
      </c>
      <c r="C396" s="404" t="s">
        <v>77</v>
      </c>
      <c r="D396" s="404" t="s">
        <v>124</v>
      </c>
      <c r="E396" s="407">
        <v>1</v>
      </c>
      <c r="F396" s="404"/>
      <c r="G396" s="404"/>
      <c r="H396" s="404"/>
      <c r="I396" s="415">
        <v>21.6083</v>
      </c>
      <c r="J396" s="415">
        <v>21.6083</v>
      </c>
    </row>
    <row r="397" spans="1:10" s="296" customFormat="1" ht="20.100000000000001" customHeight="1" x14ac:dyDescent="0.25">
      <c r="A397" s="454"/>
      <c r="B397" s="454"/>
      <c r="C397" s="454"/>
      <c r="D397" s="454"/>
      <c r="E397" s="454"/>
      <c r="F397" s="454" t="s">
        <v>167</v>
      </c>
      <c r="G397" s="454"/>
      <c r="H397" s="454"/>
      <c r="I397" s="454"/>
      <c r="J397" s="416">
        <v>52.940899999999999</v>
      </c>
    </row>
    <row r="398" spans="1:10" s="296" customFormat="1" ht="20.100000000000001" customHeight="1" x14ac:dyDescent="0.25">
      <c r="A398" s="454"/>
      <c r="B398" s="454"/>
      <c r="C398" s="454"/>
      <c r="D398" s="454"/>
      <c r="E398" s="454"/>
      <c r="F398" s="454" t="s">
        <v>168</v>
      </c>
      <c r="G398" s="454"/>
      <c r="H398" s="454"/>
      <c r="I398" s="454"/>
      <c r="J398" s="416">
        <v>0</v>
      </c>
    </row>
    <row r="399" spans="1:10" s="296" customFormat="1" ht="20.100000000000001" customHeight="1" x14ac:dyDescent="0.25">
      <c r="A399" s="454"/>
      <c r="B399" s="454"/>
      <c r="C399" s="454"/>
      <c r="D399" s="454"/>
      <c r="E399" s="454"/>
      <c r="F399" s="454" t="s">
        <v>169</v>
      </c>
      <c r="G399" s="454"/>
      <c r="H399" s="454"/>
      <c r="I399" s="454"/>
      <c r="J399" s="416">
        <v>140.73050000000001</v>
      </c>
    </row>
    <row r="400" spans="1:10" s="296" customFormat="1" ht="20.100000000000001" customHeight="1" x14ac:dyDescent="0.25">
      <c r="A400" s="454"/>
      <c r="B400" s="454"/>
      <c r="C400" s="454"/>
      <c r="D400" s="454"/>
      <c r="E400" s="454"/>
      <c r="F400" s="454" t="s">
        <v>170</v>
      </c>
      <c r="G400" s="454"/>
      <c r="H400" s="454"/>
      <c r="I400" s="454"/>
      <c r="J400" s="416">
        <v>0</v>
      </c>
    </row>
    <row r="401" spans="1:10" s="296" customFormat="1" ht="20.100000000000001" customHeight="1" x14ac:dyDescent="0.25">
      <c r="A401" s="454"/>
      <c r="B401" s="454"/>
      <c r="C401" s="454"/>
      <c r="D401" s="454"/>
      <c r="E401" s="454"/>
      <c r="F401" s="454" t="s">
        <v>171</v>
      </c>
      <c r="G401" s="454"/>
      <c r="H401" s="454"/>
      <c r="I401" s="454"/>
      <c r="J401" s="416">
        <v>0</v>
      </c>
    </row>
    <row r="402" spans="1:10" s="296" customFormat="1" ht="20.100000000000001" customHeight="1" x14ac:dyDescent="0.25">
      <c r="A402" s="454"/>
      <c r="B402" s="454"/>
      <c r="C402" s="454"/>
      <c r="D402" s="454"/>
      <c r="E402" s="454"/>
      <c r="F402" s="454" t="s">
        <v>172</v>
      </c>
      <c r="G402" s="454"/>
      <c r="H402" s="454"/>
      <c r="I402" s="454"/>
      <c r="J402" s="416">
        <v>4.0999999999999996</v>
      </c>
    </row>
    <row r="403" spans="1:10" s="296" customFormat="1" ht="20.100000000000001" customHeight="1" x14ac:dyDescent="0.25">
      <c r="A403" s="454"/>
      <c r="B403" s="454"/>
      <c r="C403" s="454"/>
      <c r="D403" s="454"/>
      <c r="E403" s="454"/>
      <c r="F403" s="454" t="s">
        <v>173</v>
      </c>
      <c r="G403" s="454"/>
      <c r="H403" s="454"/>
      <c r="I403" s="454"/>
      <c r="J403" s="416">
        <v>34.3245</v>
      </c>
    </row>
    <row r="404" spans="1:10" s="296" customFormat="1" ht="20.100000000000001" customHeight="1" x14ac:dyDescent="0.25">
      <c r="A404" s="412" t="s">
        <v>210</v>
      </c>
      <c r="B404" s="413" t="s">
        <v>68</v>
      </c>
      <c r="C404" s="412" t="s">
        <v>67</v>
      </c>
      <c r="D404" s="412" t="s">
        <v>54</v>
      </c>
      <c r="E404" s="413" t="s">
        <v>157</v>
      </c>
      <c r="F404" s="413" t="s">
        <v>187</v>
      </c>
      <c r="G404" s="456" t="s">
        <v>188</v>
      </c>
      <c r="H404" s="456"/>
      <c r="I404" s="456"/>
      <c r="J404" s="413" t="s">
        <v>160</v>
      </c>
    </row>
    <row r="405" spans="1:10" s="296" customFormat="1" ht="39" customHeight="1" x14ac:dyDescent="0.25">
      <c r="A405" s="404" t="s">
        <v>120</v>
      </c>
      <c r="B405" s="405" t="s">
        <v>77</v>
      </c>
      <c r="C405" s="404" t="s">
        <v>322</v>
      </c>
      <c r="D405" s="404" t="s">
        <v>323</v>
      </c>
      <c r="E405" s="407">
        <v>0.69621999999999995</v>
      </c>
      <c r="F405" s="406" t="s">
        <v>32</v>
      </c>
      <c r="G405" s="461">
        <v>29.1463</v>
      </c>
      <c r="H405" s="461"/>
      <c r="I405" s="460"/>
      <c r="J405" s="415">
        <v>20.292200000000001</v>
      </c>
    </row>
    <row r="406" spans="1:10" s="296" customFormat="1" ht="26.1" customHeight="1" x14ac:dyDescent="0.25">
      <c r="A406" s="404" t="s">
        <v>120</v>
      </c>
      <c r="B406" s="405" t="s">
        <v>77</v>
      </c>
      <c r="C406" s="404" t="s">
        <v>324</v>
      </c>
      <c r="D406" s="404" t="s">
        <v>325</v>
      </c>
      <c r="E406" s="407">
        <v>12.717000000000001</v>
      </c>
      <c r="F406" s="406" t="s">
        <v>32</v>
      </c>
      <c r="G406" s="461">
        <v>27.845300000000002</v>
      </c>
      <c r="H406" s="461"/>
      <c r="I406" s="460"/>
      <c r="J406" s="415">
        <v>354.1087</v>
      </c>
    </row>
    <row r="407" spans="1:10" s="296" customFormat="1" ht="20.100000000000001" customHeight="1" x14ac:dyDescent="0.25">
      <c r="A407" s="454"/>
      <c r="B407" s="454"/>
      <c r="C407" s="454"/>
      <c r="D407" s="454"/>
      <c r="E407" s="454"/>
      <c r="F407" s="454" t="s">
        <v>215</v>
      </c>
      <c r="G407" s="454"/>
      <c r="H407" s="454"/>
      <c r="I407" s="454"/>
      <c r="J407" s="416">
        <v>374.40089999999998</v>
      </c>
    </row>
    <row r="408" spans="1:10" s="296" customFormat="1" ht="20.100000000000001" customHeight="1" x14ac:dyDescent="0.25">
      <c r="A408" s="412" t="s">
        <v>185</v>
      </c>
      <c r="B408" s="413" t="s">
        <v>68</v>
      </c>
      <c r="C408" s="412" t="s">
        <v>67</v>
      </c>
      <c r="D408" s="412" t="s">
        <v>186</v>
      </c>
      <c r="E408" s="413" t="s">
        <v>157</v>
      </c>
      <c r="F408" s="413" t="s">
        <v>187</v>
      </c>
      <c r="G408" s="456" t="s">
        <v>188</v>
      </c>
      <c r="H408" s="456"/>
      <c r="I408" s="456"/>
      <c r="J408" s="413" t="s">
        <v>160</v>
      </c>
    </row>
    <row r="409" spans="1:10" s="296" customFormat="1" ht="26.1" customHeight="1" x14ac:dyDescent="0.25">
      <c r="A409" s="399" t="s">
        <v>189</v>
      </c>
      <c r="B409" s="400" t="s">
        <v>77</v>
      </c>
      <c r="C409" s="399">
        <v>1107892</v>
      </c>
      <c r="D409" s="399" t="s">
        <v>313</v>
      </c>
      <c r="E409" s="402">
        <v>5.0299999999999997E-2</v>
      </c>
      <c r="F409" s="401" t="s">
        <v>14</v>
      </c>
      <c r="G409" s="462">
        <v>459.29</v>
      </c>
      <c r="H409" s="462"/>
      <c r="I409" s="463"/>
      <c r="J409" s="417">
        <v>23.1023</v>
      </c>
    </row>
    <row r="410" spans="1:10" s="296" customFormat="1" ht="26.1" customHeight="1" x14ac:dyDescent="0.25">
      <c r="A410" s="399" t="s">
        <v>189</v>
      </c>
      <c r="B410" s="400" t="s">
        <v>77</v>
      </c>
      <c r="C410" s="399">
        <v>4805750</v>
      </c>
      <c r="D410" s="399" t="s">
        <v>314</v>
      </c>
      <c r="E410" s="402">
        <v>5.0299999999999997E-2</v>
      </c>
      <c r="F410" s="401" t="s">
        <v>14</v>
      </c>
      <c r="G410" s="462">
        <v>43.83</v>
      </c>
      <c r="H410" s="462"/>
      <c r="I410" s="463"/>
      <c r="J410" s="417">
        <v>2.2046000000000001</v>
      </c>
    </row>
    <row r="411" spans="1:10" s="296" customFormat="1" ht="20.100000000000001" customHeight="1" x14ac:dyDescent="0.25">
      <c r="A411" s="454"/>
      <c r="B411" s="454"/>
      <c r="C411" s="454"/>
      <c r="D411" s="454"/>
      <c r="E411" s="454"/>
      <c r="F411" s="454" t="s">
        <v>191</v>
      </c>
      <c r="G411" s="454"/>
      <c r="H411" s="454"/>
      <c r="I411" s="454"/>
      <c r="J411" s="416">
        <f>SUM(J409:J410)</f>
        <v>25.306899999999999</v>
      </c>
    </row>
    <row r="412" spans="1:10" s="296" customFormat="1" ht="15" x14ac:dyDescent="0.25">
      <c r="A412" s="409"/>
      <c r="B412" s="409"/>
      <c r="C412" s="409"/>
      <c r="D412" s="409"/>
      <c r="E412" s="409"/>
      <c r="F412" s="410"/>
      <c r="G412" s="409"/>
      <c r="H412" s="410"/>
      <c r="I412" s="409"/>
      <c r="J412" s="410"/>
    </row>
    <row r="413" spans="1:10" s="296" customFormat="1" ht="15.75" thickBot="1" x14ac:dyDescent="0.3">
      <c r="A413" s="409"/>
      <c r="B413" s="409"/>
      <c r="C413" s="409"/>
      <c r="D413" s="409"/>
      <c r="E413" s="409" t="s">
        <v>116</v>
      </c>
      <c r="F413" s="410">
        <f>TRUNC(J389*23.39%,2)</f>
        <v>101.51</v>
      </c>
      <c r="G413" s="409"/>
      <c r="H413" s="455" t="s">
        <v>117</v>
      </c>
      <c r="I413" s="455"/>
      <c r="J413" s="410">
        <f>F413+J389</f>
        <v>535.54</v>
      </c>
    </row>
    <row r="414" spans="1:10" s="296" customFormat="1" ht="0.95" customHeight="1" thickTop="1" x14ac:dyDescent="0.25">
      <c r="A414" s="411"/>
      <c r="B414" s="411"/>
      <c r="C414" s="411"/>
      <c r="D414" s="411"/>
      <c r="E414" s="411"/>
      <c r="F414" s="411"/>
      <c r="G414" s="411"/>
      <c r="H414" s="411"/>
      <c r="I414" s="411"/>
      <c r="J414" s="411"/>
    </row>
    <row r="415" spans="1:10" s="296" customFormat="1" ht="18" customHeight="1" x14ac:dyDescent="0.25">
      <c r="A415" s="412" t="s">
        <v>675</v>
      </c>
      <c r="B415" s="413" t="s">
        <v>67</v>
      </c>
      <c r="C415" s="412" t="s">
        <v>68</v>
      </c>
      <c r="D415" s="412" t="s">
        <v>1</v>
      </c>
      <c r="E415" s="457" t="s">
        <v>110</v>
      </c>
      <c r="F415" s="457"/>
      <c r="G415" s="414" t="s">
        <v>2</v>
      </c>
      <c r="H415" s="413" t="s">
        <v>3</v>
      </c>
      <c r="I415" s="413" t="s">
        <v>69</v>
      </c>
      <c r="J415" s="413" t="s">
        <v>45</v>
      </c>
    </row>
    <row r="416" spans="1:10" s="296" customFormat="1" ht="26.1" customHeight="1" x14ac:dyDescent="0.25">
      <c r="A416" s="394" t="s">
        <v>111</v>
      </c>
      <c r="B416" s="395" t="s">
        <v>326</v>
      </c>
      <c r="C416" s="394" t="s">
        <v>77</v>
      </c>
      <c r="D416" s="394" t="s">
        <v>270</v>
      </c>
      <c r="E416" s="458" t="s">
        <v>94</v>
      </c>
      <c r="F416" s="458"/>
      <c r="G416" s="396" t="s">
        <v>7</v>
      </c>
      <c r="H416" s="397">
        <v>1</v>
      </c>
      <c r="I416" s="398">
        <f>J416</f>
        <v>30.45</v>
      </c>
      <c r="J416" s="398">
        <f>TRUNC(J430+J437,2)</f>
        <v>30.45</v>
      </c>
    </row>
    <row r="417" spans="1:10" s="296" customFormat="1" ht="15" customHeight="1" x14ac:dyDescent="0.25">
      <c r="A417" s="457" t="s">
        <v>155</v>
      </c>
      <c r="B417" s="456" t="s">
        <v>67</v>
      </c>
      <c r="C417" s="457" t="s">
        <v>68</v>
      </c>
      <c r="D417" s="457" t="s">
        <v>156</v>
      </c>
      <c r="E417" s="456" t="s">
        <v>157</v>
      </c>
      <c r="F417" s="459" t="s">
        <v>158</v>
      </c>
      <c r="G417" s="456"/>
      <c r="H417" s="459" t="s">
        <v>159</v>
      </c>
      <c r="I417" s="456"/>
      <c r="J417" s="456" t="s">
        <v>160</v>
      </c>
    </row>
    <row r="418" spans="1:10" s="296" customFormat="1" ht="15" customHeight="1" x14ac:dyDescent="0.25">
      <c r="A418" s="456"/>
      <c r="B418" s="456"/>
      <c r="C418" s="456"/>
      <c r="D418" s="456"/>
      <c r="E418" s="456"/>
      <c r="F418" s="413" t="s">
        <v>161</v>
      </c>
      <c r="G418" s="413" t="s">
        <v>162</v>
      </c>
      <c r="H418" s="413" t="s">
        <v>161</v>
      </c>
      <c r="I418" s="413" t="s">
        <v>162</v>
      </c>
      <c r="J418" s="456"/>
    </row>
    <row r="419" spans="1:10" s="296" customFormat="1" ht="26.1" customHeight="1" x14ac:dyDescent="0.25">
      <c r="A419" s="404" t="s">
        <v>120</v>
      </c>
      <c r="B419" s="405" t="s">
        <v>327</v>
      </c>
      <c r="C419" s="404" t="s">
        <v>77</v>
      </c>
      <c r="D419" s="404" t="s">
        <v>328</v>
      </c>
      <c r="E419" s="407">
        <v>1</v>
      </c>
      <c r="F419" s="408">
        <v>1</v>
      </c>
      <c r="G419" s="408">
        <v>0</v>
      </c>
      <c r="H419" s="415">
        <v>361.29300000000001</v>
      </c>
      <c r="I419" s="415">
        <v>168.37710000000001</v>
      </c>
      <c r="J419" s="415">
        <v>361.29300000000001</v>
      </c>
    </row>
    <row r="420" spans="1:10" s="296" customFormat="1" ht="20.100000000000001" customHeight="1" x14ac:dyDescent="0.25">
      <c r="A420" s="454"/>
      <c r="B420" s="454"/>
      <c r="C420" s="454"/>
      <c r="D420" s="454"/>
      <c r="E420" s="454"/>
      <c r="F420" s="454" t="s">
        <v>163</v>
      </c>
      <c r="G420" s="454"/>
      <c r="H420" s="454"/>
      <c r="I420" s="454"/>
      <c r="J420" s="416">
        <v>361.29300000000001</v>
      </c>
    </row>
    <row r="421" spans="1:10" s="296" customFormat="1" ht="20.100000000000001" customHeight="1" x14ac:dyDescent="0.25">
      <c r="A421" s="412" t="s">
        <v>164</v>
      </c>
      <c r="B421" s="413" t="s">
        <v>67</v>
      </c>
      <c r="C421" s="412" t="s">
        <v>68</v>
      </c>
      <c r="D421" s="412" t="s">
        <v>125</v>
      </c>
      <c r="E421" s="413" t="s">
        <v>157</v>
      </c>
      <c r="F421" s="456" t="s">
        <v>165</v>
      </c>
      <c r="G421" s="456"/>
      <c r="H421" s="456"/>
      <c r="I421" s="456"/>
      <c r="J421" s="413" t="s">
        <v>160</v>
      </c>
    </row>
    <row r="422" spans="1:10" s="296" customFormat="1" ht="24" customHeight="1" x14ac:dyDescent="0.25">
      <c r="A422" s="404" t="s">
        <v>120</v>
      </c>
      <c r="B422" s="405" t="s">
        <v>329</v>
      </c>
      <c r="C422" s="404" t="s">
        <v>77</v>
      </c>
      <c r="D422" s="404" t="s">
        <v>330</v>
      </c>
      <c r="E422" s="407">
        <v>1</v>
      </c>
      <c r="F422" s="404"/>
      <c r="G422" s="404"/>
      <c r="H422" s="404"/>
      <c r="I422" s="415">
        <v>22.222899999999999</v>
      </c>
      <c r="J422" s="415">
        <v>22.222899999999999</v>
      </c>
    </row>
    <row r="423" spans="1:10" s="296" customFormat="1" ht="24" customHeight="1" x14ac:dyDescent="0.25">
      <c r="A423" s="404" t="s">
        <v>120</v>
      </c>
      <c r="B423" s="405" t="s">
        <v>166</v>
      </c>
      <c r="C423" s="404" t="s">
        <v>77</v>
      </c>
      <c r="D423" s="404" t="s">
        <v>124</v>
      </c>
      <c r="E423" s="407">
        <v>4</v>
      </c>
      <c r="F423" s="404"/>
      <c r="G423" s="404"/>
      <c r="H423" s="404"/>
      <c r="I423" s="415">
        <v>21.6083</v>
      </c>
      <c r="J423" s="415">
        <v>86.433199999999999</v>
      </c>
    </row>
    <row r="424" spans="1:10" s="296" customFormat="1" ht="20.100000000000001" customHeight="1" x14ac:dyDescent="0.25">
      <c r="A424" s="454"/>
      <c r="B424" s="454"/>
      <c r="C424" s="454"/>
      <c r="D424" s="454"/>
      <c r="E424" s="454"/>
      <c r="F424" s="454" t="s">
        <v>167</v>
      </c>
      <c r="G424" s="454"/>
      <c r="H424" s="454"/>
      <c r="I424" s="454"/>
      <c r="J424" s="416">
        <v>108.6561</v>
      </c>
    </row>
    <row r="425" spans="1:10" s="296" customFormat="1" ht="20.100000000000001" customHeight="1" x14ac:dyDescent="0.25">
      <c r="A425" s="454"/>
      <c r="B425" s="454"/>
      <c r="C425" s="454"/>
      <c r="D425" s="454"/>
      <c r="E425" s="454"/>
      <c r="F425" s="454" t="s">
        <v>168</v>
      </c>
      <c r="G425" s="454"/>
      <c r="H425" s="454"/>
      <c r="I425" s="454"/>
      <c r="J425" s="416">
        <v>0</v>
      </c>
    </row>
    <row r="426" spans="1:10" s="296" customFormat="1" ht="20.100000000000001" customHeight="1" x14ac:dyDescent="0.25">
      <c r="A426" s="454"/>
      <c r="B426" s="454"/>
      <c r="C426" s="454"/>
      <c r="D426" s="454"/>
      <c r="E426" s="454"/>
      <c r="F426" s="454" t="s">
        <v>169</v>
      </c>
      <c r="G426" s="454"/>
      <c r="H426" s="454"/>
      <c r="I426" s="454"/>
      <c r="J426" s="416">
        <v>469.94909999999999</v>
      </c>
    </row>
    <row r="427" spans="1:10" s="296" customFormat="1" ht="20.100000000000001" customHeight="1" x14ac:dyDescent="0.25">
      <c r="A427" s="454"/>
      <c r="B427" s="454"/>
      <c r="C427" s="454"/>
      <c r="D427" s="454"/>
      <c r="E427" s="454"/>
      <c r="F427" s="454" t="s">
        <v>170</v>
      </c>
      <c r="G427" s="454"/>
      <c r="H427" s="454"/>
      <c r="I427" s="454"/>
      <c r="J427" s="416">
        <v>0</v>
      </c>
    </row>
    <row r="428" spans="1:10" s="296" customFormat="1" ht="20.100000000000001" customHeight="1" x14ac:dyDescent="0.25">
      <c r="A428" s="454"/>
      <c r="B428" s="454"/>
      <c r="C428" s="454"/>
      <c r="D428" s="454"/>
      <c r="E428" s="454"/>
      <c r="F428" s="454" t="s">
        <v>171</v>
      </c>
      <c r="G428" s="454"/>
      <c r="H428" s="454"/>
      <c r="I428" s="454"/>
      <c r="J428" s="416">
        <v>0</v>
      </c>
    </row>
    <row r="429" spans="1:10" s="296" customFormat="1" ht="20.100000000000001" customHeight="1" x14ac:dyDescent="0.25">
      <c r="A429" s="454"/>
      <c r="B429" s="454"/>
      <c r="C429" s="454"/>
      <c r="D429" s="454"/>
      <c r="E429" s="454"/>
      <c r="F429" s="454" t="s">
        <v>172</v>
      </c>
      <c r="G429" s="454"/>
      <c r="H429" s="454"/>
      <c r="I429" s="454"/>
      <c r="J429" s="416">
        <v>177.07</v>
      </c>
    </row>
    <row r="430" spans="1:10" s="296" customFormat="1" ht="20.100000000000001" customHeight="1" x14ac:dyDescent="0.25">
      <c r="A430" s="454"/>
      <c r="B430" s="454"/>
      <c r="C430" s="454"/>
      <c r="D430" s="454"/>
      <c r="E430" s="454"/>
      <c r="F430" s="454" t="s">
        <v>173</v>
      </c>
      <c r="G430" s="454"/>
      <c r="H430" s="454"/>
      <c r="I430" s="454"/>
      <c r="J430" s="416">
        <v>2.6539999999999999</v>
      </c>
    </row>
    <row r="431" spans="1:10" s="296" customFormat="1" ht="20.100000000000001" customHeight="1" x14ac:dyDescent="0.25">
      <c r="A431" s="412" t="s">
        <v>210</v>
      </c>
      <c r="B431" s="413" t="s">
        <v>68</v>
      </c>
      <c r="C431" s="412" t="s">
        <v>67</v>
      </c>
      <c r="D431" s="412" t="s">
        <v>54</v>
      </c>
      <c r="E431" s="413" t="s">
        <v>157</v>
      </c>
      <c r="F431" s="413" t="s">
        <v>187</v>
      </c>
      <c r="G431" s="456" t="s">
        <v>188</v>
      </c>
      <c r="H431" s="456"/>
      <c r="I431" s="456"/>
      <c r="J431" s="413" t="s">
        <v>160</v>
      </c>
    </row>
    <row r="432" spans="1:10" s="296" customFormat="1" ht="24" customHeight="1" x14ac:dyDescent="0.25">
      <c r="A432" s="404" t="s">
        <v>120</v>
      </c>
      <c r="B432" s="405" t="s">
        <v>77</v>
      </c>
      <c r="C432" s="404" t="s">
        <v>331</v>
      </c>
      <c r="D432" s="404" t="s">
        <v>332</v>
      </c>
      <c r="E432" s="407">
        <v>0.08</v>
      </c>
      <c r="F432" s="406" t="s">
        <v>32</v>
      </c>
      <c r="G432" s="461">
        <v>10.458500000000001</v>
      </c>
      <c r="H432" s="461"/>
      <c r="I432" s="460"/>
      <c r="J432" s="415">
        <v>0.8367</v>
      </c>
    </row>
    <row r="433" spans="1:10" s="296" customFormat="1" ht="24" customHeight="1" x14ac:dyDescent="0.25">
      <c r="A433" s="404" t="s">
        <v>120</v>
      </c>
      <c r="B433" s="405" t="s">
        <v>77</v>
      </c>
      <c r="C433" s="404" t="s">
        <v>333</v>
      </c>
      <c r="D433" s="404" t="s">
        <v>334</v>
      </c>
      <c r="E433" s="407">
        <v>0.35</v>
      </c>
      <c r="F433" s="406" t="s">
        <v>32</v>
      </c>
      <c r="G433" s="461">
        <v>11.1928</v>
      </c>
      <c r="H433" s="461"/>
      <c r="I433" s="460"/>
      <c r="J433" s="415">
        <v>3.9175</v>
      </c>
    </row>
    <row r="434" spans="1:10" s="296" customFormat="1" ht="24" customHeight="1" x14ac:dyDescent="0.25">
      <c r="A434" s="404" t="s">
        <v>120</v>
      </c>
      <c r="B434" s="405" t="s">
        <v>77</v>
      </c>
      <c r="C434" s="404" t="s">
        <v>335</v>
      </c>
      <c r="D434" s="404" t="s">
        <v>336</v>
      </c>
      <c r="E434" s="407">
        <v>0.02</v>
      </c>
      <c r="F434" s="406" t="s">
        <v>337</v>
      </c>
      <c r="G434" s="461">
        <v>17.008600000000001</v>
      </c>
      <c r="H434" s="461"/>
      <c r="I434" s="460"/>
      <c r="J434" s="415">
        <v>0.3402</v>
      </c>
    </row>
    <row r="435" spans="1:10" s="296" customFormat="1" ht="26.1" customHeight="1" x14ac:dyDescent="0.25">
      <c r="A435" s="404" t="s">
        <v>120</v>
      </c>
      <c r="B435" s="405" t="s">
        <v>77</v>
      </c>
      <c r="C435" s="404" t="s">
        <v>338</v>
      </c>
      <c r="D435" s="404" t="s">
        <v>339</v>
      </c>
      <c r="E435" s="407">
        <v>9.7000000000000005E-4</v>
      </c>
      <c r="F435" s="406" t="s">
        <v>337</v>
      </c>
      <c r="G435" s="461">
        <v>23.794699999999999</v>
      </c>
      <c r="H435" s="461"/>
      <c r="I435" s="460"/>
      <c r="J435" s="415">
        <v>2.3099999999999999E-2</v>
      </c>
    </row>
    <row r="436" spans="1:10" s="296" customFormat="1" ht="26.1" customHeight="1" x14ac:dyDescent="0.25">
      <c r="A436" s="404" t="s">
        <v>120</v>
      </c>
      <c r="B436" s="405" t="s">
        <v>77</v>
      </c>
      <c r="C436" s="404" t="s">
        <v>340</v>
      </c>
      <c r="D436" s="404" t="s">
        <v>341</v>
      </c>
      <c r="E436" s="407">
        <v>0.4</v>
      </c>
      <c r="F436" s="406" t="s">
        <v>337</v>
      </c>
      <c r="G436" s="461">
        <v>56.6965</v>
      </c>
      <c r="H436" s="461"/>
      <c r="I436" s="460"/>
      <c r="J436" s="415">
        <v>22.678599999999999</v>
      </c>
    </row>
    <row r="437" spans="1:10" s="296" customFormat="1" ht="20.100000000000001" customHeight="1" x14ac:dyDescent="0.25">
      <c r="A437" s="454"/>
      <c r="B437" s="454"/>
      <c r="C437" s="454"/>
      <c r="D437" s="454"/>
      <c r="E437" s="454"/>
      <c r="F437" s="454" t="s">
        <v>215</v>
      </c>
      <c r="G437" s="454"/>
      <c r="H437" s="454"/>
      <c r="I437" s="454"/>
      <c r="J437" s="416">
        <v>27.796099999999999</v>
      </c>
    </row>
    <row r="438" spans="1:10" s="296" customFormat="1" ht="15" x14ac:dyDescent="0.25">
      <c r="A438" s="409"/>
      <c r="B438" s="409"/>
      <c r="C438" s="409"/>
      <c r="D438" s="409"/>
      <c r="E438" s="409"/>
      <c r="F438" s="410"/>
      <c r="G438" s="409"/>
      <c r="H438" s="410"/>
      <c r="I438" s="409"/>
      <c r="J438" s="410"/>
    </row>
    <row r="439" spans="1:10" s="296" customFormat="1" ht="15.75" thickBot="1" x14ac:dyDescent="0.3">
      <c r="A439" s="409"/>
      <c r="B439" s="409"/>
      <c r="C439" s="409"/>
      <c r="D439" s="409"/>
      <c r="E439" s="409" t="s">
        <v>116</v>
      </c>
      <c r="F439" s="410">
        <f>TRUNC(J416*23.39%,2)</f>
        <v>7.12</v>
      </c>
      <c r="G439" s="409"/>
      <c r="H439" s="455" t="s">
        <v>117</v>
      </c>
      <c r="I439" s="455"/>
      <c r="J439" s="410">
        <f>F439+J416</f>
        <v>37.57</v>
      </c>
    </row>
    <row r="440" spans="1:10" s="296" customFormat="1" ht="0.95" customHeight="1" thickTop="1" x14ac:dyDescent="0.25">
      <c r="A440" s="411"/>
      <c r="B440" s="411"/>
      <c r="C440" s="411"/>
      <c r="D440" s="411"/>
      <c r="E440" s="411"/>
      <c r="F440" s="411"/>
      <c r="G440" s="411"/>
      <c r="H440" s="411"/>
      <c r="I440" s="411"/>
      <c r="J440" s="411"/>
    </row>
    <row r="441" spans="1:10" s="296" customFormat="1" ht="18" customHeight="1" x14ac:dyDescent="0.25">
      <c r="A441" s="412" t="s">
        <v>676</v>
      </c>
      <c r="B441" s="413" t="s">
        <v>67</v>
      </c>
      <c r="C441" s="412" t="s">
        <v>68</v>
      </c>
      <c r="D441" s="412" t="s">
        <v>1</v>
      </c>
      <c r="E441" s="457" t="s">
        <v>110</v>
      </c>
      <c r="F441" s="457"/>
      <c r="G441" s="414" t="s">
        <v>2</v>
      </c>
      <c r="H441" s="413" t="s">
        <v>3</v>
      </c>
      <c r="I441" s="413" t="s">
        <v>69</v>
      </c>
      <c r="J441" s="413" t="s">
        <v>45</v>
      </c>
    </row>
    <row r="442" spans="1:10" s="296" customFormat="1" ht="24" customHeight="1" x14ac:dyDescent="0.25">
      <c r="A442" s="394" t="s">
        <v>111</v>
      </c>
      <c r="B442" s="395" t="s">
        <v>487</v>
      </c>
      <c r="C442" s="394" t="s">
        <v>71</v>
      </c>
      <c r="D442" s="394" t="s">
        <v>538</v>
      </c>
      <c r="E442" s="458" t="s">
        <v>112</v>
      </c>
      <c r="F442" s="458"/>
      <c r="G442" s="396" t="s">
        <v>11</v>
      </c>
      <c r="H442" s="397">
        <v>1</v>
      </c>
      <c r="I442" s="398">
        <v>15.65</v>
      </c>
      <c r="J442" s="398">
        <v>15.65</v>
      </c>
    </row>
    <row r="443" spans="1:10" s="296" customFormat="1" ht="26.1" customHeight="1" x14ac:dyDescent="0.25">
      <c r="A443" s="399" t="s">
        <v>113</v>
      </c>
      <c r="B443" s="400" t="s">
        <v>220</v>
      </c>
      <c r="C443" s="399" t="s">
        <v>75</v>
      </c>
      <c r="D443" s="399" t="s">
        <v>221</v>
      </c>
      <c r="E443" s="463" t="s">
        <v>112</v>
      </c>
      <c r="F443" s="463"/>
      <c r="G443" s="401" t="s">
        <v>119</v>
      </c>
      <c r="H443" s="402">
        <v>0.1</v>
      </c>
      <c r="I443" s="403">
        <v>29.85</v>
      </c>
      <c r="J443" s="403">
        <v>2.98</v>
      </c>
    </row>
    <row r="444" spans="1:10" s="296" customFormat="1" ht="26.1" customHeight="1" x14ac:dyDescent="0.25">
      <c r="A444" s="404" t="s">
        <v>120</v>
      </c>
      <c r="B444" s="405" t="s">
        <v>222</v>
      </c>
      <c r="C444" s="404" t="s">
        <v>75</v>
      </c>
      <c r="D444" s="404" t="s">
        <v>539</v>
      </c>
      <c r="E444" s="460" t="s">
        <v>54</v>
      </c>
      <c r="F444" s="460"/>
      <c r="G444" s="406" t="s">
        <v>18</v>
      </c>
      <c r="H444" s="407">
        <v>1</v>
      </c>
      <c r="I444" s="408">
        <v>3.53</v>
      </c>
      <c r="J444" s="408">
        <v>3.53</v>
      </c>
    </row>
    <row r="445" spans="1:10" s="296" customFormat="1" ht="24" customHeight="1" x14ac:dyDescent="0.25">
      <c r="A445" s="404" t="s">
        <v>120</v>
      </c>
      <c r="B445" s="405" t="s">
        <v>223</v>
      </c>
      <c r="C445" s="404" t="s">
        <v>73</v>
      </c>
      <c r="D445" s="404" t="s">
        <v>618</v>
      </c>
      <c r="E445" s="460" t="s">
        <v>54</v>
      </c>
      <c r="F445" s="460"/>
      <c r="G445" s="406" t="s">
        <v>224</v>
      </c>
      <c r="H445" s="407">
        <v>0.1</v>
      </c>
      <c r="I445" s="408">
        <v>22.8</v>
      </c>
      <c r="J445" s="408">
        <v>2.2799999999999998</v>
      </c>
    </row>
    <row r="446" spans="1:10" s="296" customFormat="1" ht="26.1" customHeight="1" x14ac:dyDescent="0.25">
      <c r="A446" s="404" t="s">
        <v>120</v>
      </c>
      <c r="B446" s="405" t="s">
        <v>225</v>
      </c>
      <c r="C446" s="404" t="s">
        <v>75</v>
      </c>
      <c r="D446" s="404" t="s">
        <v>226</v>
      </c>
      <c r="E446" s="460" t="s">
        <v>54</v>
      </c>
      <c r="F446" s="460"/>
      <c r="G446" s="406" t="s">
        <v>19</v>
      </c>
      <c r="H446" s="407">
        <v>2</v>
      </c>
      <c r="I446" s="408">
        <v>1.27</v>
      </c>
      <c r="J446" s="408">
        <v>2.54</v>
      </c>
    </row>
    <row r="447" spans="1:10" s="296" customFormat="1" ht="24" customHeight="1" x14ac:dyDescent="0.25">
      <c r="A447" s="404" t="s">
        <v>120</v>
      </c>
      <c r="B447" s="405" t="s">
        <v>123</v>
      </c>
      <c r="C447" s="404" t="s">
        <v>77</v>
      </c>
      <c r="D447" s="404" t="s">
        <v>124</v>
      </c>
      <c r="E447" s="460" t="s">
        <v>125</v>
      </c>
      <c r="F447" s="460"/>
      <c r="G447" s="406" t="s">
        <v>126</v>
      </c>
      <c r="H447" s="407">
        <v>0.2</v>
      </c>
      <c r="I447" s="408">
        <v>21.6083</v>
      </c>
      <c r="J447" s="408">
        <v>4.32</v>
      </c>
    </row>
    <row r="448" spans="1:10" s="296" customFormat="1" ht="15" x14ac:dyDescent="0.25">
      <c r="A448" s="409"/>
      <c r="B448" s="409"/>
      <c r="C448" s="409"/>
      <c r="D448" s="409"/>
      <c r="E448" s="409"/>
      <c r="F448" s="410"/>
      <c r="G448" s="409"/>
      <c r="H448" s="410"/>
      <c r="I448" s="409"/>
      <c r="J448" s="410"/>
    </row>
    <row r="449" spans="1:10" s="296" customFormat="1" ht="15.75" thickBot="1" x14ac:dyDescent="0.3">
      <c r="A449" s="409"/>
      <c r="B449" s="409"/>
      <c r="C449" s="409"/>
      <c r="D449" s="409"/>
      <c r="E449" s="409" t="s">
        <v>116</v>
      </c>
      <c r="F449" s="410">
        <v>3.66</v>
      </c>
      <c r="G449" s="409"/>
      <c r="H449" s="455" t="s">
        <v>117</v>
      </c>
      <c r="I449" s="455"/>
      <c r="J449" s="410">
        <v>19.309999999999999</v>
      </c>
    </row>
    <row r="450" spans="1:10" s="296" customFormat="1" ht="0.95" customHeight="1" thickTop="1" x14ac:dyDescent="0.25">
      <c r="A450" s="411"/>
      <c r="B450" s="411"/>
      <c r="C450" s="411"/>
      <c r="D450" s="411"/>
      <c r="E450" s="411"/>
      <c r="F450" s="411"/>
      <c r="G450" s="411"/>
      <c r="H450" s="411"/>
      <c r="I450" s="411"/>
      <c r="J450" s="411"/>
    </row>
    <row r="451" spans="1:10" s="296" customFormat="1" ht="18" customHeight="1" x14ac:dyDescent="0.25">
      <c r="A451" s="412" t="s">
        <v>677</v>
      </c>
      <c r="B451" s="413" t="s">
        <v>67</v>
      </c>
      <c r="C451" s="412" t="s">
        <v>68</v>
      </c>
      <c r="D451" s="412" t="s">
        <v>1</v>
      </c>
      <c r="E451" s="457" t="s">
        <v>110</v>
      </c>
      <c r="F451" s="457"/>
      <c r="G451" s="414" t="s">
        <v>2</v>
      </c>
      <c r="H451" s="413" t="s">
        <v>3</v>
      </c>
      <c r="I451" s="413" t="s">
        <v>69</v>
      </c>
      <c r="J451" s="413" t="s">
        <v>45</v>
      </c>
    </row>
    <row r="452" spans="1:10" s="296" customFormat="1" ht="26.1" customHeight="1" x14ac:dyDescent="0.25">
      <c r="A452" s="394" t="s">
        <v>111</v>
      </c>
      <c r="B452" s="395" t="s">
        <v>488</v>
      </c>
      <c r="C452" s="394" t="s">
        <v>71</v>
      </c>
      <c r="D452" s="394" t="s">
        <v>490</v>
      </c>
      <c r="E452" s="458" t="s">
        <v>532</v>
      </c>
      <c r="F452" s="458"/>
      <c r="G452" s="396" t="s">
        <v>10</v>
      </c>
      <c r="H452" s="397">
        <v>1</v>
      </c>
      <c r="I452" s="398">
        <v>204.05</v>
      </c>
      <c r="J452" s="398">
        <v>204.05</v>
      </c>
    </row>
    <row r="453" spans="1:10" s="296" customFormat="1" ht="26.1" customHeight="1" x14ac:dyDescent="0.25">
      <c r="A453" s="399" t="s">
        <v>113</v>
      </c>
      <c r="B453" s="400" t="s">
        <v>540</v>
      </c>
      <c r="C453" s="399" t="s">
        <v>541</v>
      </c>
      <c r="D453" s="399" t="s">
        <v>542</v>
      </c>
      <c r="E453" s="463" t="s">
        <v>543</v>
      </c>
      <c r="F453" s="463"/>
      <c r="G453" s="401" t="s">
        <v>19</v>
      </c>
      <c r="H453" s="402">
        <v>1</v>
      </c>
      <c r="I453" s="403">
        <v>36.799999999999997</v>
      </c>
      <c r="J453" s="403">
        <v>36.799999999999997</v>
      </c>
    </row>
    <row r="454" spans="1:10" s="296" customFormat="1" ht="26.1" customHeight="1" x14ac:dyDescent="0.25">
      <c r="A454" s="399" t="s">
        <v>113</v>
      </c>
      <c r="B454" s="400" t="s">
        <v>544</v>
      </c>
      <c r="C454" s="399" t="s">
        <v>545</v>
      </c>
      <c r="D454" s="399" t="s">
        <v>546</v>
      </c>
      <c r="E454" s="463" t="s">
        <v>547</v>
      </c>
      <c r="F454" s="463"/>
      <c r="G454" s="401" t="s">
        <v>19</v>
      </c>
      <c r="H454" s="402">
        <v>1</v>
      </c>
      <c r="I454" s="403">
        <v>167.25</v>
      </c>
      <c r="J454" s="403">
        <v>167.25</v>
      </c>
    </row>
    <row r="455" spans="1:10" s="296" customFormat="1" ht="15" x14ac:dyDescent="0.25">
      <c r="A455" s="409"/>
      <c r="B455" s="409"/>
      <c r="C455" s="409"/>
      <c r="D455" s="409"/>
      <c r="E455" s="409"/>
      <c r="F455" s="410"/>
      <c r="G455" s="409"/>
      <c r="H455" s="410"/>
      <c r="I455" s="409"/>
      <c r="J455" s="410"/>
    </row>
    <row r="456" spans="1:10" s="296" customFormat="1" ht="15.75" thickBot="1" x14ac:dyDescent="0.3">
      <c r="A456" s="409"/>
      <c r="B456" s="409"/>
      <c r="C456" s="409"/>
      <c r="D456" s="409"/>
      <c r="E456" s="409" t="s">
        <v>116</v>
      </c>
      <c r="F456" s="410">
        <v>47.72</v>
      </c>
      <c r="G456" s="409"/>
      <c r="H456" s="455" t="s">
        <v>117</v>
      </c>
      <c r="I456" s="455"/>
      <c r="J456" s="410">
        <v>251.77</v>
      </c>
    </row>
    <row r="457" spans="1:10" s="296" customFormat="1" ht="0.95" customHeight="1" thickTop="1" x14ac:dyDescent="0.25">
      <c r="A457" s="411"/>
      <c r="B457" s="411"/>
      <c r="C457" s="411"/>
      <c r="D457" s="411"/>
      <c r="E457" s="411"/>
      <c r="F457" s="411"/>
      <c r="G457" s="411"/>
      <c r="H457" s="411"/>
      <c r="I457" s="411"/>
      <c r="J457" s="411"/>
    </row>
    <row r="458" spans="1:10" s="296" customFormat="1" ht="18" customHeight="1" x14ac:dyDescent="0.25">
      <c r="A458" s="412" t="s">
        <v>537</v>
      </c>
      <c r="B458" s="413" t="s">
        <v>67</v>
      </c>
      <c r="C458" s="412" t="s">
        <v>68</v>
      </c>
      <c r="D458" s="412" t="s">
        <v>1</v>
      </c>
      <c r="E458" s="457" t="s">
        <v>110</v>
      </c>
      <c r="F458" s="457"/>
      <c r="G458" s="414" t="s">
        <v>2</v>
      </c>
      <c r="H458" s="413" t="s">
        <v>3</v>
      </c>
      <c r="I458" s="413" t="s">
        <v>69</v>
      </c>
      <c r="J458" s="413" t="s">
        <v>45</v>
      </c>
    </row>
    <row r="459" spans="1:10" s="296" customFormat="1" ht="24" customHeight="1" x14ac:dyDescent="0.25">
      <c r="A459" s="394" t="s">
        <v>111</v>
      </c>
      <c r="B459" s="395" t="s">
        <v>489</v>
      </c>
      <c r="C459" s="394" t="s">
        <v>71</v>
      </c>
      <c r="D459" s="394" t="s">
        <v>619</v>
      </c>
      <c r="E459" s="458" t="s">
        <v>112</v>
      </c>
      <c r="F459" s="458"/>
      <c r="G459" s="396" t="s">
        <v>8</v>
      </c>
      <c r="H459" s="397">
        <v>1</v>
      </c>
      <c r="I459" s="398">
        <v>32.68</v>
      </c>
      <c r="J459" s="398">
        <v>32.68</v>
      </c>
    </row>
    <row r="460" spans="1:10" s="296" customFormat="1" ht="24" customHeight="1" x14ac:dyDescent="0.25">
      <c r="A460" s="404" t="s">
        <v>120</v>
      </c>
      <c r="B460" s="405" t="s">
        <v>123</v>
      </c>
      <c r="C460" s="404" t="s">
        <v>77</v>
      </c>
      <c r="D460" s="404" t="s">
        <v>124</v>
      </c>
      <c r="E460" s="460" t="s">
        <v>125</v>
      </c>
      <c r="F460" s="460"/>
      <c r="G460" s="406" t="s">
        <v>126</v>
      </c>
      <c r="H460" s="407">
        <v>0.56599999999999995</v>
      </c>
      <c r="I460" s="408">
        <v>21.6083</v>
      </c>
      <c r="J460" s="408">
        <v>12.23</v>
      </c>
    </row>
    <row r="461" spans="1:10" s="296" customFormat="1" ht="24" customHeight="1" x14ac:dyDescent="0.25">
      <c r="A461" s="404" t="s">
        <v>120</v>
      </c>
      <c r="B461" s="405" t="s">
        <v>571</v>
      </c>
      <c r="C461" s="404" t="s">
        <v>77</v>
      </c>
      <c r="D461" s="404" t="s">
        <v>572</v>
      </c>
      <c r="E461" s="460" t="s">
        <v>125</v>
      </c>
      <c r="F461" s="460"/>
      <c r="G461" s="406" t="s">
        <v>126</v>
      </c>
      <c r="H461" s="407">
        <v>0.73099999999999998</v>
      </c>
      <c r="I461" s="408">
        <v>27.988199999999999</v>
      </c>
      <c r="J461" s="408">
        <v>20.45</v>
      </c>
    </row>
    <row r="462" spans="1:10" s="296" customFormat="1" ht="15" x14ac:dyDescent="0.25">
      <c r="A462" s="409"/>
      <c r="B462" s="409"/>
      <c r="C462" s="409"/>
      <c r="D462" s="409"/>
      <c r="E462" s="409"/>
      <c r="F462" s="410"/>
      <c r="G462" s="409"/>
      <c r="H462" s="410"/>
      <c r="I462" s="409"/>
      <c r="J462" s="410"/>
    </row>
    <row r="463" spans="1:10" s="296" customFormat="1" ht="15.75" thickBot="1" x14ac:dyDescent="0.3">
      <c r="A463" s="409"/>
      <c r="B463" s="409"/>
      <c r="C463" s="409"/>
      <c r="D463" s="409"/>
      <c r="E463" s="409" t="s">
        <v>116</v>
      </c>
      <c r="F463" s="410">
        <v>7.64</v>
      </c>
      <c r="G463" s="409"/>
      <c r="H463" s="455" t="s">
        <v>117</v>
      </c>
      <c r="I463" s="455"/>
      <c r="J463" s="410">
        <v>40.32</v>
      </c>
    </row>
    <row r="464" spans="1:10" s="296" customFormat="1" ht="0.95" customHeight="1" thickTop="1" x14ac:dyDescent="0.25">
      <c r="A464" s="411"/>
      <c r="B464" s="411"/>
      <c r="C464" s="411"/>
      <c r="D464" s="411"/>
      <c r="E464" s="411"/>
      <c r="F464" s="411"/>
      <c r="G464" s="411"/>
      <c r="H464" s="411"/>
      <c r="I464" s="411"/>
      <c r="J464" s="411"/>
    </row>
    <row r="465" spans="1:10" s="296" customFormat="1" ht="50.1" customHeight="1" x14ac:dyDescent="0.25">
      <c r="A465" s="464" t="s">
        <v>227</v>
      </c>
      <c r="B465" s="465"/>
      <c r="C465" s="465"/>
      <c r="D465" s="465"/>
      <c r="E465" s="465"/>
      <c r="F465" s="465"/>
      <c r="G465" s="465"/>
      <c r="H465" s="465"/>
      <c r="I465" s="465"/>
      <c r="J465" s="465"/>
    </row>
    <row r="466" spans="1:10" s="296" customFormat="1" ht="18" customHeight="1" x14ac:dyDescent="0.25">
      <c r="A466" s="412"/>
      <c r="B466" s="413" t="s">
        <v>67</v>
      </c>
      <c r="C466" s="412" t="s">
        <v>68</v>
      </c>
      <c r="D466" s="412" t="s">
        <v>1</v>
      </c>
      <c r="E466" s="457" t="s">
        <v>110</v>
      </c>
      <c r="F466" s="457"/>
      <c r="G466" s="414" t="s">
        <v>2</v>
      </c>
      <c r="H466" s="413" t="s">
        <v>3</v>
      </c>
      <c r="I466" s="413" t="s">
        <v>69</v>
      </c>
      <c r="J466" s="413" t="s">
        <v>45</v>
      </c>
    </row>
    <row r="467" spans="1:10" s="296" customFormat="1" ht="51.95" customHeight="1" x14ac:dyDescent="0.25">
      <c r="A467" s="394" t="s">
        <v>111</v>
      </c>
      <c r="B467" s="395" t="s">
        <v>228</v>
      </c>
      <c r="C467" s="394" t="s">
        <v>77</v>
      </c>
      <c r="D467" s="394" t="s">
        <v>216</v>
      </c>
      <c r="E467" s="458" t="s">
        <v>94</v>
      </c>
      <c r="F467" s="458"/>
      <c r="G467" s="396" t="s">
        <v>22</v>
      </c>
      <c r="H467" s="397">
        <v>1</v>
      </c>
      <c r="I467" s="398">
        <v>6.94</v>
      </c>
      <c r="J467" s="398">
        <v>6.94</v>
      </c>
    </row>
    <row r="468" spans="1:10" s="296" customFormat="1" ht="15" customHeight="1" x14ac:dyDescent="0.25">
      <c r="A468" s="457" t="s">
        <v>155</v>
      </c>
      <c r="B468" s="456" t="s">
        <v>67</v>
      </c>
      <c r="C468" s="457" t="s">
        <v>68</v>
      </c>
      <c r="D468" s="457" t="s">
        <v>156</v>
      </c>
      <c r="E468" s="456" t="s">
        <v>157</v>
      </c>
      <c r="F468" s="459" t="s">
        <v>158</v>
      </c>
      <c r="G468" s="456"/>
      <c r="H468" s="459" t="s">
        <v>159</v>
      </c>
      <c r="I468" s="456"/>
      <c r="J468" s="456" t="s">
        <v>160</v>
      </c>
    </row>
    <row r="469" spans="1:10" s="296" customFormat="1" ht="15" customHeight="1" x14ac:dyDescent="0.25">
      <c r="A469" s="456"/>
      <c r="B469" s="456"/>
      <c r="C469" s="456"/>
      <c r="D469" s="456"/>
      <c r="E469" s="456"/>
      <c r="F469" s="413" t="s">
        <v>161</v>
      </c>
      <c r="G469" s="413" t="s">
        <v>162</v>
      </c>
      <c r="H469" s="413" t="s">
        <v>161</v>
      </c>
      <c r="I469" s="413" t="s">
        <v>162</v>
      </c>
      <c r="J469" s="456"/>
    </row>
    <row r="470" spans="1:10" s="296" customFormat="1" ht="26.1" customHeight="1" x14ac:dyDescent="0.25">
      <c r="A470" s="404" t="s">
        <v>120</v>
      </c>
      <c r="B470" s="405" t="s">
        <v>229</v>
      </c>
      <c r="C470" s="404" t="s">
        <v>77</v>
      </c>
      <c r="D470" s="404" t="s">
        <v>230</v>
      </c>
      <c r="E470" s="407">
        <v>12</v>
      </c>
      <c r="F470" s="408">
        <v>0.97</v>
      </c>
      <c r="G470" s="408">
        <v>0.03</v>
      </c>
      <c r="H470" s="415">
        <v>269.45830000000001</v>
      </c>
      <c r="I470" s="415">
        <v>94.924099999999996</v>
      </c>
      <c r="J470" s="415">
        <v>3170.6673000000001</v>
      </c>
    </row>
    <row r="471" spans="1:10" s="296" customFormat="1" ht="20.100000000000001" customHeight="1" x14ac:dyDescent="0.25">
      <c r="A471" s="454"/>
      <c r="B471" s="454"/>
      <c r="C471" s="454"/>
      <c r="D471" s="454"/>
      <c r="E471" s="454"/>
      <c r="F471" s="454" t="s">
        <v>163</v>
      </c>
      <c r="G471" s="454"/>
      <c r="H471" s="454"/>
      <c r="I471" s="454"/>
      <c r="J471" s="416">
        <v>3170.6673000000001</v>
      </c>
    </row>
    <row r="472" spans="1:10" s="296" customFormat="1" ht="20.100000000000001" customHeight="1" x14ac:dyDescent="0.25">
      <c r="A472" s="454"/>
      <c r="B472" s="454"/>
      <c r="C472" s="454"/>
      <c r="D472" s="454"/>
      <c r="E472" s="454"/>
      <c r="F472" s="454" t="s">
        <v>169</v>
      </c>
      <c r="G472" s="454"/>
      <c r="H472" s="454"/>
      <c r="I472" s="454"/>
      <c r="J472" s="416">
        <v>3170.6673000000001</v>
      </c>
    </row>
    <row r="473" spans="1:10" s="296" customFormat="1" ht="20.100000000000001" customHeight="1" x14ac:dyDescent="0.25">
      <c r="A473" s="454"/>
      <c r="B473" s="454"/>
      <c r="C473" s="454"/>
      <c r="D473" s="454"/>
      <c r="E473" s="454"/>
      <c r="F473" s="454" t="s">
        <v>170</v>
      </c>
      <c r="G473" s="454"/>
      <c r="H473" s="454"/>
      <c r="I473" s="454"/>
      <c r="J473" s="416">
        <v>0</v>
      </c>
    </row>
    <row r="474" spans="1:10" s="296" customFormat="1" ht="20.100000000000001" customHeight="1" x14ac:dyDescent="0.25">
      <c r="A474" s="454"/>
      <c r="B474" s="454"/>
      <c r="C474" s="454"/>
      <c r="D474" s="454"/>
      <c r="E474" s="454"/>
      <c r="F474" s="454" t="s">
        <v>171</v>
      </c>
      <c r="G474" s="454"/>
      <c r="H474" s="454"/>
      <c r="I474" s="454"/>
      <c r="J474" s="416">
        <v>0</v>
      </c>
    </row>
    <row r="475" spans="1:10" s="296" customFormat="1" ht="20.100000000000001" customHeight="1" x14ac:dyDescent="0.25">
      <c r="A475" s="454"/>
      <c r="B475" s="454"/>
      <c r="C475" s="454"/>
      <c r="D475" s="454"/>
      <c r="E475" s="454"/>
      <c r="F475" s="454" t="s">
        <v>172</v>
      </c>
      <c r="G475" s="454"/>
      <c r="H475" s="454"/>
      <c r="I475" s="454"/>
      <c r="J475" s="416">
        <v>457.16</v>
      </c>
    </row>
    <row r="476" spans="1:10" s="296" customFormat="1" ht="20.100000000000001" customHeight="1" x14ac:dyDescent="0.25">
      <c r="A476" s="454"/>
      <c r="B476" s="454"/>
      <c r="C476" s="454"/>
      <c r="D476" s="454"/>
      <c r="E476" s="454"/>
      <c r="F476" s="454" t="s">
        <v>173</v>
      </c>
      <c r="G476" s="454"/>
      <c r="H476" s="454"/>
      <c r="I476" s="454"/>
      <c r="J476" s="416">
        <v>6.9356</v>
      </c>
    </row>
    <row r="477" spans="1:10" s="296" customFormat="1" ht="15" x14ac:dyDescent="0.25">
      <c r="A477" s="409"/>
      <c r="B477" s="409"/>
      <c r="C477" s="409"/>
      <c r="D477" s="409"/>
      <c r="E477" s="409"/>
      <c r="F477" s="410"/>
      <c r="G477" s="409"/>
      <c r="H477" s="410"/>
      <c r="I477" s="409"/>
      <c r="J477" s="410"/>
    </row>
    <row r="478" spans="1:10" s="296" customFormat="1" ht="15.75" thickBot="1" x14ac:dyDescent="0.3">
      <c r="A478" s="409"/>
      <c r="B478" s="409"/>
      <c r="C478" s="409"/>
      <c r="D478" s="409"/>
      <c r="E478" s="409" t="s">
        <v>116</v>
      </c>
      <c r="F478" s="410">
        <v>1.62</v>
      </c>
      <c r="G478" s="409"/>
      <c r="H478" s="455" t="s">
        <v>117</v>
      </c>
      <c r="I478" s="455"/>
      <c r="J478" s="410">
        <v>8.56</v>
      </c>
    </row>
    <row r="479" spans="1:10" s="296" customFormat="1" ht="0.95" customHeight="1" thickTop="1" x14ac:dyDescent="0.25">
      <c r="A479" s="411"/>
      <c r="B479" s="411"/>
      <c r="C479" s="411"/>
      <c r="D479" s="411"/>
      <c r="E479" s="411"/>
      <c r="F479" s="411"/>
      <c r="G479" s="411"/>
      <c r="H479" s="411"/>
      <c r="I479" s="411"/>
      <c r="J479" s="411"/>
    </row>
    <row r="480" spans="1:10" s="296" customFormat="1" ht="18" customHeight="1" x14ac:dyDescent="0.25">
      <c r="A480" s="412"/>
      <c r="B480" s="413" t="s">
        <v>67</v>
      </c>
      <c r="C480" s="412" t="s">
        <v>68</v>
      </c>
      <c r="D480" s="412" t="s">
        <v>1</v>
      </c>
      <c r="E480" s="457" t="s">
        <v>110</v>
      </c>
      <c r="F480" s="457"/>
      <c r="G480" s="414" t="s">
        <v>2</v>
      </c>
      <c r="H480" s="413" t="s">
        <v>3</v>
      </c>
      <c r="I480" s="413" t="s">
        <v>69</v>
      </c>
      <c r="J480" s="413" t="s">
        <v>45</v>
      </c>
    </row>
    <row r="481" spans="1:10" s="296" customFormat="1" ht="39" customHeight="1" x14ac:dyDescent="0.25">
      <c r="A481" s="394" t="s">
        <v>111</v>
      </c>
      <c r="B481" s="395" t="s">
        <v>342</v>
      </c>
      <c r="C481" s="394" t="s">
        <v>77</v>
      </c>
      <c r="D481" s="394" t="s">
        <v>343</v>
      </c>
      <c r="E481" s="458" t="s">
        <v>94</v>
      </c>
      <c r="F481" s="458"/>
      <c r="G481" s="396" t="s">
        <v>22</v>
      </c>
      <c r="H481" s="397">
        <v>1</v>
      </c>
      <c r="I481" s="398">
        <v>1.61</v>
      </c>
      <c r="J481" s="398">
        <v>1.61</v>
      </c>
    </row>
    <row r="482" spans="1:10" s="296" customFormat="1" ht="15" customHeight="1" x14ac:dyDescent="0.25">
      <c r="A482" s="457" t="s">
        <v>155</v>
      </c>
      <c r="B482" s="456" t="s">
        <v>67</v>
      </c>
      <c r="C482" s="457" t="s">
        <v>68</v>
      </c>
      <c r="D482" s="457" t="s">
        <v>156</v>
      </c>
      <c r="E482" s="456" t="s">
        <v>157</v>
      </c>
      <c r="F482" s="459" t="s">
        <v>158</v>
      </c>
      <c r="G482" s="456"/>
      <c r="H482" s="459" t="s">
        <v>159</v>
      </c>
      <c r="I482" s="456"/>
      <c r="J482" s="456" t="s">
        <v>160</v>
      </c>
    </row>
    <row r="483" spans="1:10" s="296" customFormat="1" ht="15" customHeight="1" x14ac:dyDescent="0.25">
      <c r="A483" s="456"/>
      <c r="B483" s="456"/>
      <c r="C483" s="456"/>
      <c r="D483" s="456"/>
      <c r="E483" s="456"/>
      <c r="F483" s="413" t="s">
        <v>161</v>
      </c>
      <c r="G483" s="413" t="s">
        <v>162</v>
      </c>
      <c r="H483" s="413" t="s">
        <v>161</v>
      </c>
      <c r="I483" s="413" t="s">
        <v>162</v>
      </c>
      <c r="J483" s="456"/>
    </row>
    <row r="484" spans="1:10" s="296" customFormat="1" ht="26.1" customHeight="1" x14ac:dyDescent="0.25">
      <c r="A484" s="404" t="s">
        <v>120</v>
      </c>
      <c r="B484" s="405" t="s">
        <v>229</v>
      </c>
      <c r="C484" s="404" t="s">
        <v>77</v>
      </c>
      <c r="D484" s="404" t="s">
        <v>230</v>
      </c>
      <c r="E484" s="407">
        <v>3</v>
      </c>
      <c r="F484" s="408">
        <v>0.86</v>
      </c>
      <c r="G484" s="408">
        <v>0.14000000000000001</v>
      </c>
      <c r="H484" s="415">
        <v>269.45830000000001</v>
      </c>
      <c r="I484" s="415">
        <v>94.924099999999996</v>
      </c>
      <c r="J484" s="415">
        <v>735.07050000000004</v>
      </c>
    </row>
    <row r="485" spans="1:10" s="296" customFormat="1" ht="20.100000000000001" customHeight="1" x14ac:dyDescent="0.25">
      <c r="A485" s="454"/>
      <c r="B485" s="454"/>
      <c r="C485" s="454"/>
      <c r="D485" s="454"/>
      <c r="E485" s="454"/>
      <c r="F485" s="454" t="s">
        <v>163</v>
      </c>
      <c r="G485" s="454"/>
      <c r="H485" s="454"/>
      <c r="I485" s="454"/>
      <c r="J485" s="416">
        <v>735.07050000000004</v>
      </c>
    </row>
    <row r="486" spans="1:10" s="296" customFormat="1" ht="20.100000000000001" customHeight="1" x14ac:dyDescent="0.25">
      <c r="A486" s="454"/>
      <c r="B486" s="454"/>
      <c r="C486" s="454"/>
      <c r="D486" s="454"/>
      <c r="E486" s="454"/>
      <c r="F486" s="454" t="s">
        <v>169</v>
      </c>
      <c r="G486" s="454"/>
      <c r="H486" s="454"/>
      <c r="I486" s="454"/>
      <c r="J486" s="416">
        <v>735.07050000000004</v>
      </c>
    </row>
    <row r="487" spans="1:10" s="296" customFormat="1" ht="20.100000000000001" customHeight="1" x14ac:dyDescent="0.25">
      <c r="A487" s="454"/>
      <c r="B487" s="454"/>
      <c r="C487" s="454"/>
      <c r="D487" s="454"/>
      <c r="E487" s="454"/>
      <c r="F487" s="454" t="s">
        <v>170</v>
      </c>
      <c r="G487" s="454"/>
      <c r="H487" s="454"/>
      <c r="I487" s="454"/>
      <c r="J487" s="416">
        <v>0</v>
      </c>
    </row>
    <row r="488" spans="1:10" s="296" customFormat="1" ht="20.100000000000001" customHeight="1" x14ac:dyDescent="0.25">
      <c r="A488" s="454"/>
      <c r="B488" s="454"/>
      <c r="C488" s="454"/>
      <c r="D488" s="454"/>
      <c r="E488" s="454"/>
      <c r="F488" s="454" t="s">
        <v>171</v>
      </c>
      <c r="G488" s="454"/>
      <c r="H488" s="454"/>
      <c r="I488" s="454"/>
      <c r="J488" s="416">
        <v>0</v>
      </c>
    </row>
    <row r="489" spans="1:10" s="296" customFormat="1" ht="20.100000000000001" customHeight="1" x14ac:dyDescent="0.25">
      <c r="A489" s="454"/>
      <c r="B489" s="454"/>
      <c r="C489" s="454"/>
      <c r="D489" s="454"/>
      <c r="E489" s="454"/>
      <c r="F489" s="454" t="s">
        <v>172</v>
      </c>
      <c r="G489" s="454"/>
      <c r="H489" s="454"/>
      <c r="I489" s="454"/>
      <c r="J489" s="416">
        <v>457.16</v>
      </c>
    </row>
    <row r="490" spans="1:10" s="296" customFormat="1" ht="20.100000000000001" customHeight="1" x14ac:dyDescent="0.25">
      <c r="A490" s="454"/>
      <c r="B490" s="454"/>
      <c r="C490" s="454"/>
      <c r="D490" s="454"/>
      <c r="E490" s="454"/>
      <c r="F490" s="454" t="s">
        <v>173</v>
      </c>
      <c r="G490" s="454"/>
      <c r="H490" s="454"/>
      <c r="I490" s="454"/>
      <c r="J490" s="416">
        <v>1.6079000000000001</v>
      </c>
    </row>
    <row r="491" spans="1:10" s="296" customFormat="1" ht="15" x14ac:dyDescent="0.25">
      <c r="A491" s="409"/>
      <c r="B491" s="409"/>
      <c r="C491" s="409"/>
      <c r="D491" s="409"/>
      <c r="E491" s="409"/>
      <c r="F491" s="410"/>
      <c r="G491" s="409"/>
      <c r="H491" s="410"/>
      <c r="I491" s="409"/>
      <c r="J491" s="410"/>
    </row>
    <row r="492" spans="1:10" s="296" customFormat="1" ht="15.75" thickBot="1" x14ac:dyDescent="0.3">
      <c r="A492" s="409"/>
      <c r="B492" s="409"/>
      <c r="C492" s="409"/>
      <c r="D492" s="409"/>
      <c r="E492" s="409" t="s">
        <v>116</v>
      </c>
      <c r="F492" s="410">
        <v>0.37</v>
      </c>
      <c r="G492" s="409"/>
      <c r="H492" s="455" t="s">
        <v>117</v>
      </c>
      <c r="I492" s="455"/>
      <c r="J492" s="410">
        <v>1.98</v>
      </c>
    </row>
    <row r="493" spans="1:10" s="296" customFormat="1" ht="0.95" customHeight="1" thickTop="1" x14ac:dyDescent="0.25">
      <c r="A493" s="411"/>
      <c r="B493" s="411"/>
      <c r="C493" s="411"/>
      <c r="D493" s="411"/>
      <c r="E493" s="411"/>
      <c r="F493" s="411"/>
      <c r="G493" s="411"/>
      <c r="H493" s="411"/>
      <c r="I493" s="411"/>
      <c r="J493" s="411"/>
    </row>
    <row r="494" spans="1:10" s="296" customFormat="1" ht="18" customHeight="1" x14ac:dyDescent="0.25">
      <c r="A494" s="412"/>
      <c r="B494" s="413" t="s">
        <v>67</v>
      </c>
      <c r="C494" s="412" t="s">
        <v>68</v>
      </c>
      <c r="D494" s="412" t="s">
        <v>1</v>
      </c>
      <c r="E494" s="457" t="s">
        <v>110</v>
      </c>
      <c r="F494" s="457"/>
      <c r="G494" s="414" t="s">
        <v>2</v>
      </c>
      <c r="H494" s="413" t="s">
        <v>3</v>
      </c>
      <c r="I494" s="413" t="s">
        <v>69</v>
      </c>
      <c r="J494" s="413" t="s">
        <v>45</v>
      </c>
    </row>
    <row r="495" spans="1:10" s="296" customFormat="1" ht="39" customHeight="1" x14ac:dyDescent="0.25">
      <c r="A495" s="394" t="s">
        <v>111</v>
      </c>
      <c r="B495" s="395" t="s">
        <v>231</v>
      </c>
      <c r="C495" s="394" t="s">
        <v>77</v>
      </c>
      <c r="D495" s="394" t="s">
        <v>195</v>
      </c>
      <c r="E495" s="458" t="s">
        <v>94</v>
      </c>
      <c r="F495" s="458"/>
      <c r="G495" s="396" t="s">
        <v>22</v>
      </c>
      <c r="H495" s="397">
        <v>1</v>
      </c>
      <c r="I495" s="398">
        <v>1.68</v>
      </c>
      <c r="J495" s="398">
        <v>1.68</v>
      </c>
    </row>
    <row r="496" spans="1:10" s="296" customFormat="1" ht="15" customHeight="1" x14ac:dyDescent="0.25">
      <c r="A496" s="457" t="s">
        <v>155</v>
      </c>
      <c r="B496" s="456" t="s">
        <v>67</v>
      </c>
      <c r="C496" s="457" t="s">
        <v>68</v>
      </c>
      <c r="D496" s="457" t="s">
        <v>156</v>
      </c>
      <c r="E496" s="456" t="s">
        <v>157</v>
      </c>
      <c r="F496" s="459" t="s">
        <v>158</v>
      </c>
      <c r="G496" s="456"/>
      <c r="H496" s="459" t="s">
        <v>159</v>
      </c>
      <c r="I496" s="456"/>
      <c r="J496" s="456" t="s">
        <v>160</v>
      </c>
    </row>
    <row r="497" spans="1:10" s="296" customFormat="1" ht="15" customHeight="1" x14ac:dyDescent="0.25">
      <c r="A497" s="456"/>
      <c r="B497" s="456"/>
      <c r="C497" s="456"/>
      <c r="D497" s="456"/>
      <c r="E497" s="456"/>
      <c r="F497" s="413" t="s">
        <v>161</v>
      </c>
      <c r="G497" s="413" t="s">
        <v>162</v>
      </c>
      <c r="H497" s="413" t="s">
        <v>161</v>
      </c>
      <c r="I497" s="413" t="s">
        <v>162</v>
      </c>
      <c r="J497" s="456"/>
    </row>
    <row r="498" spans="1:10" s="296" customFormat="1" ht="26.1" customHeight="1" x14ac:dyDescent="0.25">
      <c r="A498" s="404" t="s">
        <v>120</v>
      </c>
      <c r="B498" s="405" t="s">
        <v>229</v>
      </c>
      <c r="C498" s="404" t="s">
        <v>77</v>
      </c>
      <c r="D498" s="404" t="s">
        <v>230</v>
      </c>
      <c r="E498" s="407">
        <v>3</v>
      </c>
      <c r="F498" s="408">
        <v>0.84</v>
      </c>
      <c r="G498" s="408">
        <v>0.16</v>
      </c>
      <c r="H498" s="415">
        <v>269.45830000000001</v>
      </c>
      <c r="I498" s="415">
        <v>94.924099999999996</v>
      </c>
      <c r="J498" s="415">
        <v>724.59849999999994</v>
      </c>
    </row>
    <row r="499" spans="1:10" s="296" customFormat="1" ht="20.100000000000001" customHeight="1" x14ac:dyDescent="0.25">
      <c r="A499" s="454"/>
      <c r="B499" s="454"/>
      <c r="C499" s="454"/>
      <c r="D499" s="454"/>
      <c r="E499" s="454"/>
      <c r="F499" s="454" t="s">
        <v>163</v>
      </c>
      <c r="G499" s="454"/>
      <c r="H499" s="454"/>
      <c r="I499" s="454"/>
      <c r="J499" s="416">
        <v>724.59849999999994</v>
      </c>
    </row>
    <row r="500" spans="1:10" s="296" customFormat="1" ht="20.100000000000001" customHeight="1" x14ac:dyDescent="0.25">
      <c r="A500" s="454"/>
      <c r="B500" s="454"/>
      <c r="C500" s="454"/>
      <c r="D500" s="454"/>
      <c r="E500" s="454"/>
      <c r="F500" s="454" t="s">
        <v>169</v>
      </c>
      <c r="G500" s="454"/>
      <c r="H500" s="454"/>
      <c r="I500" s="454"/>
      <c r="J500" s="416">
        <v>724.59849999999994</v>
      </c>
    </row>
    <row r="501" spans="1:10" s="296" customFormat="1" ht="20.100000000000001" customHeight="1" x14ac:dyDescent="0.25">
      <c r="A501" s="454"/>
      <c r="B501" s="454"/>
      <c r="C501" s="454"/>
      <c r="D501" s="454"/>
      <c r="E501" s="454"/>
      <c r="F501" s="454" t="s">
        <v>170</v>
      </c>
      <c r="G501" s="454"/>
      <c r="H501" s="454"/>
      <c r="I501" s="454"/>
      <c r="J501" s="416">
        <v>0</v>
      </c>
    </row>
    <row r="502" spans="1:10" s="296" customFormat="1" ht="20.100000000000001" customHeight="1" x14ac:dyDescent="0.25">
      <c r="A502" s="454"/>
      <c r="B502" s="454"/>
      <c r="C502" s="454"/>
      <c r="D502" s="454"/>
      <c r="E502" s="454"/>
      <c r="F502" s="454" t="s">
        <v>171</v>
      </c>
      <c r="G502" s="454"/>
      <c r="H502" s="454"/>
      <c r="I502" s="454"/>
      <c r="J502" s="416">
        <v>0</v>
      </c>
    </row>
    <row r="503" spans="1:10" s="296" customFormat="1" ht="20.100000000000001" customHeight="1" x14ac:dyDescent="0.25">
      <c r="A503" s="454"/>
      <c r="B503" s="454"/>
      <c r="C503" s="454"/>
      <c r="D503" s="454"/>
      <c r="E503" s="454"/>
      <c r="F503" s="454" t="s">
        <v>172</v>
      </c>
      <c r="G503" s="454"/>
      <c r="H503" s="454"/>
      <c r="I503" s="454"/>
      <c r="J503" s="416">
        <v>431.6</v>
      </c>
    </row>
    <row r="504" spans="1:10" s="296" customFormat="1" ht="20.100000000000001" customHeight="1" x14ac:dyDescent="0.25">
      <c r="A504" s="454"/>
      <c r="B504" s="454"/>
      <c r="C504" s="454"/>
      <c r="D504" s="454"/>
      <c r="E504" s="454"/>
      <c r="F504" s="454" t="s">
        <v>173</v>
      </c>
      <c r="G504" s="454"/>
      <c r="H504" s="454"/>
      <c r="I504" s="454"/>
      <c r="J504" s="416">
        <v>1.6789000000000001</v>
      </c>
    </row>
    <row r="505" spans="1:10" s="296" customFormat="1" ht="15" x14ac:dyDescent="0.25">
      <c r="A505" s="409"/>
      <c r="B505" s="409"/>
      <c r="C505" s="409"/>
      <c r="D505" s="409"/>
      <c r="E505" s="409"/>
      <c r="F505" s="410"/>
      <c r="G505" s="409"/>
      <c r="H505" s="410"/>
      <c r="I505" s="409"/>
      <c r="J505" s="410"/>
    </row>
    <row r="506" spans="1:10" s="296" customFormat="1" ht="15.75" thickBot="1" x14ac:dyDescent="0.3">
      <c r="A506" s="409"/>
      <c r="B506" s="409"/>
      <c r="C506" s="409"/>
      <c r="D506" s="409"/>
      <c r="E506" s="409" t="s">
        <v>116</v>
      </c>
      <c r="F506" s="410">
        <v>0.39</v>
      </c>
      <c r="G506" s="409"/>
      <c r="H506" s="455" t="s">
        <v>117</v>
      </c>
      <c r="I506" s="455"/>
      <c r="J506" s="410">
        <v>2.0699999999999998</v>
      </c>
    </row>
    <row r="507" spans="1:10" s="296" customFormat="1" ht="0.95" customHeight="1" thickTop="1" x14ac:dyDescent="0.25">
      <c r="A507" s="411"/>
      <c r="B507" s="411"/>
      <c r="C507" s="411"/>
      <c r="D507" s="411"/>
      <c r="E507" s="411"/>
      <c r="F507" s="411"/>
      <c r="G507" s="411"/>
      <c r="H507" s="411"/>
      <c r="I507" s="411"/>
      <c r="J507" s="411"/>
    </row>
    <row r="508" spans="1:10" s="296" customFormat="1" ht="18" customHeight="1" x14ac:dyDescent="0.25">
      <c r="A508" s="412"/>
      <c r="B508" s="413" t="s">
        <v>67</v>
      </c>
      <c r="C508" s="412" t="s">
        <v>68</v>
      </c>
      <c r="D508" s="412" t="s">
        <v>1</v>
      </c>
      <c r="E508" s="457" t="s">
        <v>110</v>
      </c>
      <c r="F508" s="457"/>
      <c r="G508" s="414" t="s">
        <v>2</v>
      </c>
      <c r="H508" s="413" t="s">
        <v>3</v>
      </c>
      <c r="I508" s="413" t="s">
        <v>69</v>
      </c>
      <c r="J508" s="413" t="s">
        <v>45</v>
      </c>
    </row>
    <row r="509" spans="1:10" s="296" customFormat="1" ht="51.95" customHeight="1" x14ac:dyDescent="0.25">
      <c r="A509" s="394" t="s">
        <v>111</v>
      </c>
      <c r="B509" s="395" t="s">
        <v>555</v>
      </c>
      <c r="C509" s="394" t="s">
        <v>77</v>
      </c>
      <c r="D509" s="394" t="s">
        <v>612</v>
      </c>
      <c r="E509" s="458" t="s">
        <v>94</v>
      </c>
      <c r="F509" s="458"/>
      <c r="G509" s="396" t="s">
        <v>22</v>
      </c>
      <c r="H509" s="397">
        <v>1</v>
      </c>
      <c r="I509" s="398">
        <v>5.4</v>
      </c>
      <c r="J509" s="398">
        <v>5.4</v>
      </c>
    </row>
    <row r="510" spans="1:10" s="296" customFormat="1" ht="15" customHeight="1" x14ac:dyDescent="0.25">
      <c r="A510" s="457" t="s">
        <v>155</v>
      </c>
      <c r="B510" s="456" t="s">
        <v>67</v>
      </c>
      <c r="C510" s="457" t="s">
        <v>68</v>
      </c>
      <c r="D510" s="457" t="s">
        <v>156</v>
      </c>
      <c r="E510" s="456" t="s">
        <v>157</v>
      </c>
      <c r="F510" s="459" t="s">
        <v>158</v>
      </c>
      <c r="G510" s="456"/>
      <c r="H510" s="459" t="s">
        <v>159</v>
      </c>
      <c r="I510" s="456"/>
      <c r="J510" s="456" t="s">
        <v>160</v>
      </c>
    </row>
    <row r="511" spans="1:10" s="296" customFormat="1" ht="15" customHeight="1" x14ac:dyDescent="0.25">
      <c r="A511" s="456"/>
      <c r="B511" s="456"/>
      <c r="C511" s="456"/>
      <c r="D511" s="456"/>
      <c r="E511" s="456"/>
      <c r="F511" s="413" t="s">
        <v>161</v>
      </c>
      <c r="G511" s="413" t="s">
        <v>162</v>
      </c>
      <c r="H511" s="413" t="s">
        <v>161</v>
      </c>
      <c r="I511" s="413" t="s">
        <v>162</v>
      </c>
      <c r="J511" s="456"/>
    </row>
    <row r="512" spans="1:10" s="296" customFormat="1" ht="26.1" customHeight="1" x14ac:dyDescent="0.25">
      <c r="A512" s="404" t="s">
        <v>120</v>
      </c>
      <c r="B512" s="405" t="s">
        <v>232</v>
      </c>
      <c r="C512" s="404" t="s">
        <v>77</v>
      </c>
      <c r="D512" s="404" t="s">
        <v>233</v>
      </c>
      <c r="E512" s="407">
        <v>7</v>
      </c>
      <c r="F512" s="408">
        <v>0.99</v>
      </c>
      <c r="G512" s="408">
        <v>0.01</v>
      </c>
      <c r="H512" s="415">
        <v>179.4392</v>
      </c>
      <c r="I512" s="415">
        <v>77.369699999999995</v>
      </c>
      <c r="J512" s="415">
        <v>1248.9295</v>
      </c>
    </row>
    <row r="513" spans="1:10" s="296" customFormat="1" ht="20.100000000000001" customHeight="1" x14ac:dyDescent="0.25">
      <c r="A513" s="454"/>
      <c r="B513" s="454"/>
      <c r="C513" s="454"/>
      <c r="D513" s="454"/>
      <c r="E513" s="454"/>
      <c r="F513" s="454" t="s">
        <v>163</v>
      </c>
      <c r="G513" s="454"/>
      <c r="H513" s="454"/>
      <c r="I513" s="454"/>
      <c r="J513" s="416">
        <v>1248.9295</v>
      </c>
    </row>
    <row r="514" spans="1:10" s="296" customFormat="1" ht="20.100000000000001" customHeight="1" x14ac:dyDescent="0.25">
      <c r="A514" s="454"/>
      <c r="B514" s="454"/>
      <c r="C514" s="454"/>
      <c r="D514" s="454"/>
      <c r="E514" s="454"/>
      <c r="F514" s="454" t="s">
        <v>169</v>
      </c>
      <c r="G514" s="454"/>
      <c r="H514" s="454"/>
      <c r="I514" s="454"/>
      <c r="J514" s="416">
        <v>1248.9295</v>
      </c>
    </row>
    <row r="515" spans="1:10" s="296" customFormat="1" ht="20.100000000000001" customHeight="1" x14ac:dyDescent="0.25">
      <c r="A515" s="454"/>
      <c r="B515" s="454"/>
      <c r="C515" s="454"/>
      <c r="D515" s="454"/>
      <c r="E515" s="454"/>
      <c r="F515" s="454" t="s">
        <v>170</v>
      </c>
      <c r="G515" s="454"/>
      <c r="H515" s="454"/>
      <c r="I515" s="454"/>
      <c r="J515" s="416">
        <v>0</v>
      </c>
    </row>
    <row r="516" spans="1:10" s="296" customFormat="1" ht="20.100000000000001" customHeight="1" x14ac:dyDescent="0.25">
      <c r="A516" s="454"/>
      <c r="B516" s="454"/>
      <c r="C516" s="454"/>
      <c r="D516" s="454"/>
      <c r="E516" s="454"/>
      <c r="F516" s="454" t="s">
        <v>171</v>
      </c>
      <c r="G516" s="454"/>
      <c r="H516" s="454"/>
      <c r="I516" s="454"/>
      <c r="J516" s="416">
        <v>0</v>
      </c>
    </row>
    <row r="517" spans="1:10" s="296" customFormat="1" ht="20.100000000000001" customHeight="1" x14ac:dyDescent="0.25">
      <c r="A517" s="454"/>
      <c r="B517" s="454"/>
      <c r="C517" s="454"/>
      <c r="D517" s="454"/>
      <c r="E517" s="454"/>
      <c r="F517" s="454" t="s">
        <v>172</v>
      </c>
      <c r="G517" s="454"/>
      <c r="H517" s="454"/>
      <c r="I517" s="454"/>
      <c r="J517" s="416">
        <v>231.27</v>
      </c>
    </row>
    <row r="518" spans="1:10" s="296" customFormat="1" ht="20.100000000000001" customHeight="1" x14ac:dyDescent="0.25">
      <c r="A518" s="454"/>
      <c r="B518" s="454"/>
      <c r="C518" s="454"/>
      <c r="D518" s="454"/>
      <c r="E518" s="454"/>
      <c r="F518" s="454" t="s">
        <v>173</v>
      </c>
      <c r="G518" s="454"/>
      <c r="H518" s="454"/>
      <c r="I518" s="454"/>
      <c r="J518" s="416">
        <v>5.4002999999999997</v>
      </c>
    </row>
    <row r="519" spans="1:10" s="296" customFormat="1" ht="15" x14ac:dyDescent="0.25">
      <c r="A519" s="409"/>
      <c r="B519" s="409"/>
      <c r="C519" s="409"/>
      <c r="D519" s="409"/>
      <c r="E519" s="409"/>
      <c r="F519" s="410"/>
      <c r="G519" s="409"/>
      <c r="H519" s="410"/>
      <c r="I519" s="409"/>
      <c r="J519" s="410"/>
    </row>
    <row r="520" spans="1:10" s="296" customFormat="1" ht="15.75" thickBot="1" x14ac:dyDescent="0.3">
      <c r="A520" s="409"/>
      <c r="B520" s="409"/>
      <c r="C520" s="409"/>
      <c r="D520" s="409"/>
      <c r="E520" s="409" t="s">
        <v>116</v>
      </c>
      <c r="F520" s="410">
        <v>1.26</v>
      </c>
      <c r="G520" s="409"/>
      <c r="H520" s="455" t="s">
        <v>117</v>
      </c>
      <c r="I520" s="455"/>
      <c r="J520" s="410">
        <v>6.66</v>
      </c>
    </row>
    <row r="521" spans="1:10" s="296" customFormat="1" ht="0.95" customHeight="1" thickTop="1" x14ac:dyDescent="0.25">
      <c r="A521" s="411"/>
      <c r="B521" s="411"/>
      <c r="C521" s="411"/>
      <c r="D521" s="411"/>
      <c r="E521" s="411"/>
      <c r="F521" s="411"/>
      <c r="G521" s="411"/>
      <c r="H521" s="411"/>
      <c r="I521" s="411"/>
      <c r="J521" s="411"/>
    </row>
    <row r="522" spans="1:10" s="296" customFormat="1" ht="18" customHeight="1" x14ac:dyDescent="0.25">
      <c r="A522" s="412"/>
      <c r="B522" s="413" t="s">
        <v>67</v>
      </c>
      <c r="C522" s="412" t="s">
        <v>68</v>
      </c>
      <c r="D522" s="412" t="s">
        <v>1</v>
      </c>
      <c r="E522" s="457" t="s">
        <v>110</v>
      </c>
      <c r="F522" s="457"/>
      <c r="G522" s="414" t="s">
        <v>2</v>
      </c>
      <c r="H522" s="413" t="s">
        <v>3</v>
      </c>
      <c r="I522" s="413" t="s">
        <v>69</v>
      </c>
      <c r="J522" s="413" t="s">
        <v>45</v>
      </c>
    </row>
    <row r="523" spans="1:10" s="296" customFormat="1" ht="39" customHeight="1" x14ac:dyDescent="0.25">
      <c r="A523" s="394" t="s">
        <v>111</v>
      </c>
      <c r="B523" s="395" t="s">
        <v>620</v>
      </c>
      <c r="C523" s="394" t="s">
        <v>77</v>
      </c>
      <c r="D523" s="394" t="s">
        <v>621</v>
      </c>
      <c r="E523" s="458" t="s">
        <v>94</v>
      </c>
      <c r="F523" s="458"/>
      <c r="G523" s="396" t="s">
        <v>22</v>
      </c>
      <c r="H523" s="397">
        <v>1</v>
      </c>
      <c r="I523" s="398">
        <v>31.91</v>
      </c>
      <c r="J523" s="398">
        <v>31.91</v>
      </c>
    </row>
    <row r="524" spans="1:10" s="296" customFormat="1" ht="15" customHeight="1" x14ac:dyDescent="0.25">
      <c r="A524" s="457" t="s">
        <v>155</v>
      </c>
      <c r="B524" s="456" t="s">
        <v>67</v>
      </c>
      <c r="C524" s="457" t="s">
        <v>68</v>
      </c>
      <c r="D524" s="457" t="s">
        <v>156</v>
      </c>
      <c r="E524" s="456" t="s">
        <v>157</v>
      </c>
      <c r="F524" s="459" t="s">
        <v>158</v>
      </c>
      <c r="G524" s="456"/>
      <c r="H524" s="459" t="s">
        <v>159</v>
      </c>
      <c r="I524" s="456"/>
      <c r="J524" s="456" t="s">
        <v>160</v>
      </c>
    </row>
    <row r="525" spans="1:10" s="296" customFormat="1" ht="15" customHeight="1" x14ac:dyDescent="0.25">
      <c r="A525" s="456"/>
      <c r="B525" s="456"/>
      <c r="C525" s="456"/>
      <c r="D525" s="456"/>
      <c r="E525" s="456"/>
      <c r="F525" s="413" t="s">
        <v>161</v>
      </c>
      <c r="G525" s="413" t="s">
        <v>162</v>
      </c>
      <c r="H525" s="413" t="s">
        <v>161</v>
      </c>
      <c r="I525" s="413" t="s">
        <v>162</v>
      </c>
      <c r="J525" s="456"/>
    </row>
    <row r="526" spans="1:10" s="296" customFormat="1" ht="26.1" customHeight="1" x14ac:dyDescent="0.25">
      <c r="A526" s="404" t="s">
        <v>120</v>
      </c>
      <c r="B526" s="405" t="s">
        <v>344</v>
      </c>
      <c r="C526" s="404" t="s">
        <v>77</v>
      </c>
      <c r="D526" s="404" t="s">
        <v>345</v>
      </c>
      <c r="E526" s="407">
        <v>2</v>
      </c>
      <c r="F526" s="408">
        <v>0.53</v>
      </c>
      <c r="G526" s="408">
        <v>0.47</v>
      </c>
      <c r="H526" s="415">
        <v>247.93629999999999</v>
      </c>
      <c r="I526" s="415">
        <v>84.012900000000002</v>
      </c>
      <c r="J526" s="415">
        <v>341.78460000000001</v>
      </c>
    </row>
    <row r="527" spans="1:10" s="296" customFormat="1" ht="26.1" customHeight="1" x14ac:dyDescent="0.25">
      <c r="A527" s="404" t="s">
        <v>120</v>
      </c>
      <c r="B527" s="405" t="s">
        <v>622</v>
      </c>
      <c r="C527" s="404" t="s">
        <v>77</v>
      </c>
      <c r="D527" s="404" t="s">
        <v>623</v>
      </c>
      <c r="E527" s="407">
        <v>1</v>
      </c>
      <c r="F527" s="408">
        <v>1</v>
      </c>
      <c r="G527" s="408">
        <v>0</v>
      </c>
      <c r="H527" s="415">
        <v>296.87540000000001</v>
      </c>
      <c r="I527" s="415">
        <v>129.1823</v>
      </c>
      <c r="J527" s="415">
        <v>296.87540000000001</v>
      </c>
    </row>
    <row r="528" spans="1:10" s="296" customFormat="1" ht="20.100000000000001" customHeight="1" x14ac:dyDescent="0.25">
      <c r="A528" s="454"/>
      <c r="B528" s="454"/>
      <c r="C528" s="454"/>
      <c r="D528" s="454"/>
      <c r="E528" s="454"/>
      <c r="F528" s="454" t="s">
        <v>163</v>
      </c>
      <c r="G528" s="454"/>
      <c r="H528" s="454"/>
      <c r="I528" s="454"/>
      <c r="J528" s="416">
        <v>638.66</v>
      </c>
    </row>
    <row r="529" spans="1:10" s="296" customFormat="1" ht="20.100000000000001" customHeight="1" x14ac:dyDescent="0.25">
      <c r="A529" s="412" t="s">
        <v>164</v>
      </c>
      <c r="B529" s="413" t="s">
        <v>67</v>
      </c>
      <c r="C529" s="412" t="s">
        <v>68</v>
      </c>
      <c r="D529" s="412" t="s">
        <v>125</v>
      </c>
      <c r="E529" s="413" t="s">
        <v>157</v>
      </c>
      <c r="F529" s="456" t="s">
        <v>165</v>
      </c>
      <c r="G529" s="456"/>
      <c r="H529" s="456"/>
      <c r="I529" s="456"/>
      <c r="J529" s="413" t="s">
        <v>160</v>
      </c>
    </row>
    <row r="530" spans="1:10" s="296" customFormat="1" ht="24" customHeight="1" x14ac:dyDescent="0.25">
      <c r="A530" s="404" t="s">
        <v>120</v>
      </c>
      <c r="B530" s="405" t="s">
        <v>166</v>
      </c>
      <c r="C530" s="404" t="s">
        <v>77</v>
      </c>
      <c r="D530" s="404" t="s">
        <v>124</v>
      </c>
      <c r="E530" s="407">
        <v>2</v>
      </c>
      <c r="F530" s="404"/>
      <c r="G530" s="404"/>
      <c r="H530" s="404"/>
      <c r="I530" s="415">
        <v>21.6083</v>
      </c>
      <c r="J530" s="415">
        <v>43.2166</v>
      </c>
    </row>
    <row r="531" spans="1:10" s="296" customFormat="1" ht="20.100000000000001" customHeight="1" x14ac:dyDescent="0.25">
      <c r="A531" s="454"/>
      <c r="B531" s="454"/>
      <c r="C531" s="454"/>
      <c r="D531" s="454"/>
      <c r="E531" s="454"/>
      <c r="F531" s="454" t="s">
        <v>167</v>
      </c>
      <c r="G531" s="454"/>
      <c r="H531" s="454"/>
      <c r="I531" s="454"/>
      <c r="J531" s="416">
        <v>43.2166</v>
      </c>
    </row>
    <row r="532" spans="1:10" s="296" customFormat="1" ht="20.100000000000001" customHeight="1" x14ac:dyDescent="0.25">
      <c r="A532" s="454"/>
      <c r="B532" s="454"/>
      <c r="C532" s="454"/>
      <c r="D532" s="454"/>
      <c r="E532" s="454"/>
      <c r="F532" s="454" t="s">
        <v>168</v>
      </c>
      <c r="G532" s="454"/>
      <c r="H532" s="454"/>
      <c r="I532" s="454"/>
      <c r="J532" s="416">
        <v>0</v>
      </c>
    </row>
    <row r="533" spans="1:10" s="296" customFormat="1" ht="20.100000000000001" customHeight="1" x14ac:dyDescent="0.25">
      <c r="A533" s="454"/>
      <c r="B533" s="454"/>
      <c r="C533" s="454"/>
      <c r="D533" s="454"/>
      <c r="E533" s="454"/>
      <c r="F533" s="454" t="s">
        <v>169</v>
      </c>
      <c r="G533" s="454"/>
      <c r="H533" s="454"/>
      <c r="I533" s="454"/>
      <c r="J533" s="416">
        <v>681.87660000000005</v>
      </c>
    </row>
    <row r="534" spans="1:10" s="296" customFormat="1" ht="20.100000000000001" customHeight="1" x14ac:dyDescent="0.25">
      <c r="A534" s="454"/>
      <c r="B534" s="454"/>
      <c r="C534" s="454"/>
      <c r="D534" s="454"/>
      <c r="E534" s="454"/>
      <c r="F534" s="454" t="s">
        <v>170</v>
      </c>
      <c r="G534" s="454"/>
      <c r="H534" s="454"/>
      <c r="I534" s="454"/>
      <c r="J534" s="416">
        <v>0</v>
      </c>
    </row>
    <row r="535" spans="1:10" s="296" customFormat="1" ht="20.100000000000001" customHeight="1" x14ac:dyDescent="0.25">
      <c r="A535" s="454"/>
      <c r="B535" s="454"/>
      <c r="C535" s="454"/>
      <c r="D535" s="454"/>
      <c r="E535" s="454"/>
      <c r="F535" s="454" t="s">
        <v>171</v>
      </c>
      <c r="G535" s="454"/>
      <c r="H535" s="454"/>
      <c r="I535" s="454"/>
      <c r="J535" s="416">
        <v>0</v>
      </c>
    </row>
    <row r="536" spans="1:10" s="296" customFormat="1" ht="20.100000000000001" customHeight="1" x14ac:dyDescent="0.25">
      <c r="A536" s="454"/>
      <c r="B536" s="454"/>
      <c r="C536" s="454"/>
      <c r="D536" s="454"/>
      <c r="E536" s="454"/>
      <c r="F536" s="454" t="s">
        <v>172</v>
      </c>
      <c r="G536" s="454"/>
      <c r="H536" s="454"/>
      <c r="I536" s="454"/>
      <c r="J536" s="416">
        <v>21.37</v>
      </c>
    </row>
    <row r="537" spans="1:10" s="296" customFormat="1" ht="20.100000000000001" customHeight="1" x14ac:dyDescent="0.25">
      <c r="A537" s="454"/>
      <c r="B537" s="454"/>
      <c r="C537" s="454"/>
      <c r="D537" s="454"/>
      <c r="E537" s="454"/>
      <c r="F537" s="454" t="s">
        <v>173</v>
      </c>
      <c r="G537" s="454"/>
      <c r="H537" s="454"/>
      <c r="I537" s="454"/>
      <c r="J537" s="416">
        <v>31.908100000000001</v>
      </c>
    </row>
    <row r="538" spans="1:10" s="296" customFormat="1" ht="15" x14ac:dyDescent="0.25">
      <c r="A538" s="409"/>
      <c r="B538" s="409"/>
      <c r="C538" s="409"/>
      <c r="D538" s="409"/>
      <c r="E538" s="409"/>
      <c r="F538" s="410"/>
      <c r="G538" s="409"/>
      <c r="H538" s="410"/>
      <c r="I538" s="409"/>
      <c r="J538" s="410"/>
    </row>
    <row r="539" spans="1:10" s="296" customFormat="1" ht="15.75" thickBot="1" x14ac:dyDescent="0.3">
      <c r="A539" s="409"/>
      <c r="B539" s="409"/>
      <c r="C539" s="409"/>
      <c r="D539" s="409"/>
      <c r="E539" s="409" t="s">
        <v>116</v>
      </c>
      <c r="F539" s="410">
        <v>7.46</v>
      </c>
      <c r="G539" s="409"/>
      <c r="H539" s="455" t="s">
        <v>117</v>
      </c>
      <c r="I539" s="455"/>
      <c r="J539" s="410">
        <v>39.369999999999997</v>
      </c>
    </row>
    <row r="540" spans="1:10" s="296" customFormat="1" ht="0.95" customHeight="1" thickTop="1" x14ac:dyDescent="0.25">
      <c r="A540" s="411"/>
      <c r="B540" s="411"/>
      <c r="C540" s="411"/>
      <c r="D540" s="411"/>
      <c r="E540" s="411"/>
      <c r="F540" s="411"/>
      <c r="G540" s="411"/>
      <c r="H540" s="411"/>
      <c r="I540" s="411"/>
      <c r="J540" s="411"/>
    </row>
    <row r="541" spans="1:10" s="296" customFormat="1" ht="18" customHeight="1" x14ac:dyDescent="0.25">
      <c r="A541" s="412"/>
      <c r="B541" s="413" t="s">
        <v>67</v>
      </c>
      <c r="C541" s="412" t="s">
        <v>68</v>
      </c>
      <c r="D541" s="412" t="s">
        <v>1</v>
      </c>
      <c r="E541" s="457" t="s">
        <v>110</v>
      </c>
      <c r="F541" s="457"/>
      <c r="G541" s="414" t="s">
        <v>2</v>
      </c>
      <c r="H541" s="413" t="s">
        <v>3</v>
      </c>
      <c r="I541" s="413" t="s">
        <v>69</v>
      </c>
      <c r="J541" s="413" t="s">
        <v>45</v>
      </c>
    </row>
    <row r="542" spans="1:10" s="296" customFormat="1" ht="39" customHeight="1" x14ac:dyDescent="0.25">
      <c r="A542" s="394" t="s">
        <v>111</v>
      </c>
      <c r="B542" s="395" t="s">
        <v>549</v>
      </c>
      <c r="C542" s="394" t="s">
        <v>75</v>
      </c>
      <c r="D542" s="394" t="s">
        <v>550</v>
      </c>
      <c r="E542" s="458" t="s">
        <v>112</v>
      </c>
      <c r="F542" s="458"/>
      <c r="G542" s="396" t="s">
        <v>14</v>
      </c>
      <c r="H542" s="397">
        <v>1</v>
      </c>
      <c r="I542" s="398">
        <v>545.39</v>
      </c>
      <c r="J542" s="398">
        <v>545.39</v>
      </c>
    </row>
    <row r="543" spans="1:10" s="296" customFormat="1" ht="26.1" customHeight="1" x14ac:dyDescent="0.25">
      <c r="A543" s="399" t="s">
        <v>113</v>
      </c>
      <c r="B543" s="400" t="s">
        <v>238</v>
      </c>
      <c r="C543" s="399" t="s">
        <v>75</v>
      </c>
      <c r="D543" s="399" t="s">
        <v>239</v>
      </c>
      <c r="E543" s="463" t="s">
        <v>112</v>
      </c>
      <c r="F543" s="463"/>
      <c r="G543" s="401" t="s">
        <v>119</v>
      </c>
      <c r="H543" s="402">
        <v>2.44</v>
      </c>
      <c r="I543" s="403">
        <v>31.4</v>
      </c>
      <c r="J543" s="403">
        <v>76.61</v>
      </c>
    </row>
    <row r="544" spans="1:10" s="296" customFormat="1" ht="51.95" customHeight="1" x14ac:dyDescent="0.25">
      <c r="A544" s="399" t="s">
        <v>113</v>
      </c>
      <c r="B544" s="400" t="s">
        <v>551</v>
      </c>
      <c r="C544" s="399" t="s">
        <v>75</v>
      </c>
      <c r="D544" s="399" t="s">
        <v>552</v>
      </c>
      <c r="E544" s="463" t="s">
        <v>149</v>
      </c>
      <c r="F544" s="463"/>
      <c r="G544" s="401" t="s">
        <v>150</v>
      </c>
      <c r="H544" s="402">
        <v>0.56999999999999995</v>
      </c>
      <c r="I544" s="403">
        <v>5.81</v>
      </c>
      <c r="J544" s="403">
        <v>3.31</v>
      </c>
    </row>
    <row r="545" spans="1:10" s="296" customFormat="1" ht="51.95" customHeight="1" x14ac:dyDescent="0.25">
      <c r="A545" s="399" t="s">
        <v>113</v>
      </c>
      <c r="B545" s="400" t="s">
        <v>553</v>
      </c>
      <c r="C545" s="399" t="s">
        <v>75</v>
      </c>
      <c r="D545" s="399" t="s">
        <v>554</v>
      </c>
      <c r="E545" s="463" t="s">
        <v>149</v>
      </c>
      <c r="F545" s="463"/>
      <c r="G545" s="401" t="s">
        <v>203</v>
      </c>
      <c r="H545" s="402">
        <v>1.87</v>
      </c>
      <c r="I545" s="403">
        <v>1.52</v>
      </c>
      <c r="J545" s="403">
        <v>2.84</v>
      </c>
    </row>
    <row r="546" spans="1:10" s="296" customFormat="1" ht="26.1" customHeight="1" x14ac:dyDescent="0.25">
      <c r="A546" s="404" t="s">
        <v>120</v>
      </c>
      <c r="B546" s="405" t="s">
        <v>217</v>
      </c>
      <c r="C546" s="404" t="s">
        <v>75</v>
      </c>
      <c r="D546" s="404" t="s">
        <v>218</v>
      </c>
      <c r="E546" s="460" t="s">
        <v>54</v>
      </c>
      <c r="F546" s="460"/>
      <c r="G546" s="406" t="s">
        <v>14</v>
      </c>
      <c r="H546" s="407">
        <v>1.07</v>
      </c>
      <c r="I546" s="408">
        <v>110</v>
      </c>
      <c r="J546" s="408">
        <v>117.7</v>
      </c>
    </row>
    <row r="547" spans="1:10" s="296" customFormat="1" ht="24" customHeight="1" x14ac:dyDescent="0.25">
      <c r="A547" s="404" t="s">
        <v>120</v>
      </c>
      <c r="B547" s="405" t="s">
        <v>123</v>
      </c>
      <c r="C547" s="404" t="s">
        <v>77</v>
      </c>
      <c r="D547" s="404" t="s">
        <v>124</v>
      </c>
      <c r="E547" s="460" t="s">
        <v>125</v>
      </c>
      <c r="F547" s="460"/>
      <c r="G547" s="406" t="s">
        <v>126</v>
      </c>
      <c r="H547" s="407">
        <v>0.75</v>
      </c>
      <c r="I547" s="408">
        <v>21.6083</v>
      </c>
      <c r="J547" s="408">
        <v>16.2</v>
      </c>
    </row>
    <row r="548" spans="1:10" s="296" customFormat="1" ht="24" customHeight="1" x14ac:dyDescent="0.25">
      <c r="A548" s="404" t="s">
        <v>120</v>
      </c>
      <c r="B548" s="405" t="s">
        <v>548</v>
      </c>
      <c r="C548" s="404" t="s">
        <v>77</v>
      </c>
      <c r="D548" s="404" t="s">
        <v>364</v>
      </c>
      <c r="E548" s="460" t="s">
        <v>54</v>
      </c>
      <c r="F548" s="460"/>
      <c r="G548" s="406" t="s">
        <v>32</v>
      </c>
      <c r="H548" s="407">
        <v>483.72</v>
      </c>
      <c r="I548" s="408">
        <v>0.67959999999999998</v>
      </c>
      <c r="J548" s="408">
        <v>328.73</v>
      </c>
    </row>
    <row r="549" spans="1:10" s="296" customFormat="1" ht="15" x14ac:dyDescent="0.25">
      <c r="A549" s="409"/>
      <c r="B549" s="409"/>
      <c r="C549" s="409"/>
      <c r="D549" s="409"/>
      <c r="E549" s="409"/>
      <c r="F549" s="410"/>
      <c r="G549" s="409"/>
      <c r="H549" s="410"/>
      <c r="I549" s="409"/>
      <c r="J549" s="410"/>
    </row>
    <row r="550" spans="1:10" s="296" customFormat="1" ht="15.75" thickBot="1" x14ac:dyDescent="0.3">
      <c r="A550" s="409"/>
      <c r="B550" s="409"/>
      <c r="C550" s="409"/>
      <c r="D550" s="409"/>
      <c r="E550" s="409" t="s">
        <v>116</v>
      </c>
      <c r="F550" s="410">
        <v>127.56</v>
      </c>
      <c r="G550" s="409"/>
      <c r="H550" s="455" t="s">
        <v>117</v>
      </c>
      <c r="I550" s="455"/>
      <c r="J550" s="410">
        <v>672.95</v>
      </c>
    </row>
    <row r="551" spans="1:10" s="296" customFormat="1" ht="0.95" customHeight="1" thickTop="1" thickBot="1" x14ac:dyDescent="0.3">
      <c r="A551" s="411"/>
      <c r="B551" s="411"/>
      <c r="C551" s="411"/>
      <c r="D551" s="411"/>
      <c r="E551" s="411"/>
      <c r="F551" s="411"/>
      <c r="G551" s="411"/>
      <c r="H551" s="411"/>
      <c r="I551" s="411"/>
      <c r="J551" s="411"/>
    </row>
    <row r="552" spans="1:10" s="296" customFormat="1" ht="0.95" customHeight="1" thickTop="1" x14ac:dyDescent="0.25">
      <c r="A552" s="411"/>
      <c r="B552" s="411"/>
      <c r="C552" s="411"/>
      <c r="D552" s="411"/>
      <c r="E552" s="411"/>
      <c r="F552" s="411"/>
      <c r="G552" s="411"/>
      <c r="H552" s="411"/>
      <c r="I552" s="411"/>
      <c r="J552" s="411"/>
    </row>
    <row r="553" spans="1:10" s="296" customFormat="1" ht="18" customHeight="1" x14ac:dyDescent="0.25">
      <c r="A553" s="412"/>
      <c r="B553" s="413" t="s">
        <v>67</v>
      </c>
      <c r="C553" s="412" t="s">
        <v>68</v>
      </c>
      <c r="D553" s="412" t="s">
        <v>1</v>
      </c>
      <c r="E553" s="457" t="s">
        <v>110</v>
      </c>
      <c r="F553" s="457"/>
      <c r="G553" s="414" t="s">
        <v>2</v>
      </c>
      <c r="H553" s="413" t="s">
        <v>3</v>
      </c>
      <c r="I553" s="413" t="s">
        <v>69</v>
      </c>
      <c r="J553" s="413" t="s">
        <v>45</v>
      </c>
    </row>
    <row r="554" spans="1:10" s="296" customFormat="1" ht="39" customHeight="1" x14ac:dyDescent="0.25">
      <c r="A554" s="394" t="s">
        <v>111</v>
      </c>
      <c r="B554" s="395" t="s">
        <v>307</v>
      </c>
      <c r="C554" s="394" t="s">
        <v>75</v>
      </c>
      <c r="D554" s="394" t="s">
        <v>308</v>
      </c>
      <c r="E554" s="458" t="s">
        <v>219</v>
      </c>
      <c r="F554" s="458"/>
      <c r="G554" s="396" t="s">
        <v>14</v>
      </c>
      <c r="H554" s="397">
        <v>1</v>
      </c>
      <c r="I554" s="398">
        <v>398.03</v>
      </c>
      <c r="J554" s="398">
        <v>398.03</v>
      </c>
    </row>
    <row r="555" spans="1:10" s="296" customFormat="1" ht="26.1" customHeight="1" x14ac:dyDescent="0.25">
      <c r="A555" s="399" t="s">
        <v>113</v>
      </c>
      <c r="B555" s="400" t="s">
        <v>238</v>
      </c>
      <c r="C555" s="399" t="s">
        <v>75</v>
      </c>
      <c r="D555" s="399" t="s">
        <v>239</v>
      </c>
      <c r="E555" s="463" t="s">
        <v>112</v>
      </c>
      <c r="F555" s="463"/>
      <c r="G555" s="401" t="s">
        <v>119</v>
      </c>
      <c r="H555" s="402">
        <v>1.4811000000000001</v>
      </c>
      <c r="I555" s="403">
        <v>31.4</v>
      </c>
      <c r="J555" s="403">
        <v>46.5</v>
      </c>
    </row>
    <row r="556" spans="1:10" s="296" customFormat="1" ht="51.95" customHeight="1" x14ac:dyDescent="0.25">
      <c r="A556" s="399" t="s">
        <v>113</v>
      </c>
      <c r="B556" s="400" t="s">
        <v>234</v>
      </c>
      <c r="C556" s="399" t="s">
        <v>75</v>
      </c>
      <c r="D556" s="399" t="s">
        <v>235</v>
      </c>
      <c r="E556" s="463" t="s">
        <v>149</v>
      </c>
      <c r="F556" s="463"/>
      <c r="G556" s="401" t="s">
        <v>150</v>
      </c>
      <c r="H556" s="402">
        <v>0.76229999999999998</v>
      </c>
      <c r="I556" s="403">
        <v>2.15</v>
      </c>
      <c r="J556" s="403">
        <v>1.63</v>
      </c>
    </row>
    <row r="557" spans="1:10" s="296" customFormat="1" ht="51.95" customHeight="1" x14ac:dyDescent="0.25">
      <c r="A557" s="399" t="s">
        <v>113</v>
      </c>
      <c r="B557" s="400" t="s">
        <v>236</v>
      </c>
      <c r="C557" s="399" t="s">
        <v>75</v>
      </c>
      <c r="D557" s="399" t="s">
        <v>237</v>
      </c>
      <c r="E557" s="463" t="s">
        <v>149</v>
      </c>
      <c r="F557" s="463"/>
      <c r="G557" s="401" t="s">
        <v>203</v>
      </c>
      <c r="H557" s="402">
        <v>0.71879999999999999</v>
      </c>
      <c r="I557" s="403">
        <v>0.37</v>
      </c>
      <c r="J557" s="403">
        <v>0.26</v>
      </c>
    </row>
    <row r="558" spans="1:10" s="296" customFormat="1" ht="26.1" customHeight="1" x14ac:dyDescent="0.25">
      <c r="A558" s="404" t="s">
        <v>120</v>
      </c>
      <c r="B558" s="405" t="s">
        <v>217</v>
      </c>
      <c r="C558" s="404" t="s">
        <v>75</v>
      </c>
      <c r="D558" s="404" t="s">
        <v>218</v>
      </c>
      <c r="E558" s="460" t="s">
        <v>54</v>
      </c>
      <c r="F558" s="460"/>
      <c r="G558" s="406" t="s">
        <v>14</v>
      </c>
      <c r="H558" s="407">
        <v>0.82689999999999997</v>
      </c>
      <c r="I558" s="408">
        <v>110</v>
      </c>
      <c r="J558" s="408">
        <v>90.95</v>
      </c>
    </row>
    <row r="559" spans="1:10" s="296" customFormat="1" ht="26.1" customHeight="1" x14ac:dyDescent="0.25">
      <c r="A559" s="404" t="s">
        <v>120</v>
      </c>
      <c r="B559" s="405" t="s">
        <v>240</v>
      </c>
      <c r="C559" s="404" t="s">
        <v>75</v>
      </c>
      <c r="D559" s="404" t="s">
        <v>241</v>
      </c>
      <c r="E559" s="460" t="s">
        <v>54</v>
      </c>
      <c r="F559" s="460"/>
      <c r="G559" s="406" t="s">
        <v>14</v>
      </c>
      <c r="H559" s="407">
        <v>0.57820000000000005</v>
      </c>
      <c r="I559" s="408">
        <v>110.67</v>
      </c>
      <c r="J559" s="408">
        <v>63.98</v>
      </c>
    </row>
    <row r="560" spans="1:10" s="296" customFormat="1" ht="24" customHeight="1" x14ac:dyDescent="0.25">
      <c r="A560" s="404" t="s">
        <v>120</v>
      </c>
      <c r="B560" s="405" t="s">
        <v>123</v>
      </c>
      <c r="C560" s="404" t="s">
        <v>77</v>
      </c>
      <c r="D560" s="404" t="s">
        <v>124</v>
      </c>
      <c r="E560" s="460" t="s">
        <v>125</v>
      </c>
      <c r="F560" s="460"/>
      <c r="G560" s="406" t="s">
        <v>126</v>
      </c>
      <c r="H560" s="407">
        <v>2.3433000000000002</v>
      </c>
      <c r="I560" s="408">
        <v>21.6083</v>
      </c>
      <c r="J560" s="408">
        <v>50.63</v>
      </c>
    </row>
    <row r="561" spans="1:10" s="296" customFormat="1" ht="24" customHeight="1" x14ac:dyDescent="0.25">
      <c r="A561" s="404" t="s">
        <v>120</v>
      </c>
      <c r="B561" s="405" t="s">
        <v>548</v>
      </c>
      <c r="C561" s="404" t="s">
        <v>77</v>
      </c>
      <c r="D561" s="404" t="s">
        <v>364</v>
      </c>
      <c r="E561" s="460" t="s">
        <v>54</v>
      </c>
      <c r="F561" s="460"/>
      <c r="G561" s="406" t="s">
        <v>32</v>
      </c>
      <c r="H561" s="407">
        <v>212.01939999999999</v>
      </c>
      <c r="I561" s="408">
        <v>0.67959999999999998</v>
      </c>
      <c r="J561" s="408">
        <v>144.08000000000001</v>
      </c>
    </row>
    <row r="562" spans="1:10" s="296" customFormat="1" ht="15" x14ac:dyDescent="0.25">
      <c r="A562" s="409"/>
      <c r="B562" s="409"/>
      <c r="C562" s="409"/>
      <c r="D562" s="409"/>
      <c r="E562" s="409"/>
      <c r="F562" s="410"/>
      <c r="G562" s="409"/>
      <c r="H562" s="410"/>
      <c r="I562" s="409"/>
      <c r="J562" s="410"/>
    </row>
    <row r="563" spans="1:10" s="296" customFormat="1" ht="15.75" thickBot="1" x14ac:dyDescent="0.3">
      <c r="A563" s="409"/>
      <c r="B563" s="409"/>
      <c r="C563" s="409"/>
      <c r="D563" s="409"/>
      <c r="E563" s="409" t="s">
        <v>116</v>
      </c>
      <c r="F563" s="410">
        <v>93.09</v>
      </c>
      <c r="G563" s="409"/>
      <c r="H563" s="455" t="s">
        <v>117</v>
      </c>
      <c r="I563" s="455"/>
      <c r="J563" s="410">
        <v>491.12</v>
      </c>
    </row>
    <row r="564" spans="1:10" s="296" customFormat="1" ht="0.95" customHeight="1" thickTop="1" thickBot="1" x14ac:dyDescent="0.3">
      <c r="A564" s="411"/>
      <c r="B564" s="411"/>
      <c r="C564" s="411"/>
      <c r="D564" s="411"/>
      <c r="E564" s="411"/>
      <c r="F564" s="411"/>
      <c r="G564" s="411"/>
      <c r="H564" s="411"/>
      <c r="I564" s="411"/>
      <c r="J564" s="411"/>
    </row>
    <row r="565" spans="1:10" s="296" customFormat="1" ht="0.95" customHeight="1" thickTop="1" x14ac:dyDescent="0.25">
      <c r="A565" s="411"/>
      <c r="B565" s="411"/>
      <c r="C565" s="411"/>
      <c r="D565" s="411"/>
      <c r="E565" s="411"/>
      <c r="F565" s="411"/>
      <c r="G565" s="411"/>
      <c r="H565" s="411"/>
      <c r="I565" s="411"/>
      <c r="J565" s="411"/>
    </row>
    <row r="566" spans="1:10" s="296" customFormat="1" ht="18" customHeight="1" x14ac:dyDescent="0.25">
      <c r="A566" s="412"/>
      <c r="B566" s="413" t="s">
        <v>67</v>
      </c>
      <c r="C566" s="412" t="s">
        <v>68</v>
      </c>
      <c r="D566" s="412" t="s">
        <v>1</v>
      </c>
      <c r="E566" s="457" t="s">
        <v>110</v>
      </c>
      <c r="F566" s="457"/>
      <c r="G566" s="414" t="s">
        <v>2</v>
      </c>
      <c r="H566" s="413" t="s">
        <v>3</v>
      </c>
      <c r="I566" s="413" t="s">
        <v>69</v>
      </c>
      <c r="J566" s="413" t="s">
        <v>45</v>
      </c>
    </row>
    <row r="567" spans="1:10" s="296" customFormat="1" ht="39" customHeight="1" x14ac:dyDescent="0.25">
      <c r="A567" s="394" t="s">
        <v>111</v>
      </c>
      <c r="B567" s="395" t="s">
        <v>624</v>
      </c>
      <c r="C567" s="394" t="s">
        <v>77</v>
      </c>
      <c r="D567" s="394" t="s">
        <v>617</v>
      </c>
      <c r="E567" s="458" t="s">
        <v>94</v>
      </c>
      <c r="F567" s="458"/>
      <c r="G567" s="396" t="s">
        <v>22</v>
      </c>
      <c r="H567" s="397">
        <v>1</v>
      </c>
      <c r="I567" s="398">
        <v>31.89</v>
      </c>
      <c r="J567" s="398">
        <v>31.89</v>
      </c>
    </row>
    <row r="568" spans="1:10" s="296" customFormat="1" ht="15" customHeight="1" x14ac:dyDescent="0.25">
      <c r="A568" s="457" t="s">
        <v>155</v>
      </c>
      <c r="B568" s="456" t="s">
        <v>67</v>
      </c>
      <c r="C568" s="457" t="s">
        <v>68</v>
      </c>
      <c r="D568" s="457" t="s">
        <v>156</v>
      </c>
      <c r="E568" s="456" t="s">
        <v>157</v>
      </c>
      <c r="F568" s="459" t="s">
        <v>158</v>
      </c>
      <c r="G568" s="456"/>
      <c r="H568" s="459" t="s">
        <v>159</v>
      </c>
      <c r="I568" s="456"/>
      <c r="J568" s="456" t="s">
        <v>160</v>
      </c>
    </row>
    <row r="569" spans="1:10" s="296" customFormat="1" ht="15" customHeight="1" x14ac:dyDescent="0.25">
      <c r="A569" s="456"/>
      <c r="B569" s="456"/>
      <c r="C569" s="456"/>
      <c r="D569" s="456"/>
      <c r="E569" s="456"/>
      <c r="F569" s="413" t="s">
        <v>161</v>
      </c>
      <c r="G569" s="413" t="s">
        <v>162</v>
      </c>
      <c r="H569" s="413" t="s">
        <v>161</v>
      </c>
      <c r="I569" s="413" t="s">
        <v>162</v>
      </c>
      <c r="J569" s="456"/>
    </row>
    <row r="570" spans="1:10" s="296" customFormat="1" ht="26.1" customHeight="1" x14ac:dyDescent="0.25">
      <c r="A570" s="404" t="s">
        <v>120</v>
      </c>
      <c r="B570" s="405" t="s">
        <v>344</v>
      </c>
      <c r="C570" s="404" t="s">
        <v>77</v>
      </c>
      <c r="D570" s="404" t="s">
        <v>345</v>
      </c>
      <c r="E570" s="407">
        <v>1</v>
      </c>
      <c r="F570" s="408">
        <v>1</v>
      </c>
      <c r="G570" s="408">
        <v>0</v>
      </c>
      <c r="H570" s="415">
        <v>247.93629999999999</v>
      </c>
      <c r="I570" s="415">
        <v>84.012900000000002</v>
      </c>
      <c r="J570" s="415">
        <v>247.93629999999999</v>
      </c>
    </row>
    <row r="571" spans="1:10" s="296" customFormat="1" ht="20.100000000000001" customHeight="1" x14ac:dyDescent="0.25">
      <c r="A571" s="454"/>
      <c r="B571" s="454"/>
      <c r="C571" s="454"/>
      <c r="D571" s="454"/>
      <c r="E571" s="454"/>
      <c r="F571" s="454" t="s">
        <v>163</v>
      </c>
      <c r="G571" s="454"/>
      <c r="H571" s="454"/>
      <c r="I571" s="454"/>
      <c r="J571" s="416">
        <v>247.93629999999999</v>
      </c>
    </row>
    <row r="572" spans="1:10" s="296" customFormat="1" ht="20.100000000000001" customHeight="1" x14ac:dyDescent="0.25">
      <c r="A572" s="412" t="s">
        <v>164</v>
      </c>
      <c r="B572" s="413" t="s">
        <v>67</v>
      </c>
      <c r="C572" s="412" t="s">
        <v>68</v>
      </c>
      <c r="D572" s="412" t="s">
        <v>125</v>
      </c>
      <c r="E572" s="413" t="s">
        <v>157</v>
      </c>
      <c r="F572" s="456" t="s">
        <v>165</v>
      </c>
      <c r="G572" s="456"/>
      <c r="H572" s="456"/>
      <c r="I572" s="456"/>
      <c r="J572" s="413" t="s">
        <v>160</v>
      </c>
    </row>
    <row r="573" spans="1:10" s="296" customFormat="1" ht="24" customHeight="1" x14ac:dyDescent="0.25">
      <c r="A573" s="404" t="s">
        <v>120</v>
      </c>
      <c r="B573" s="405" t="s">
        <v>166</v>
      </c>
      <c r="C573" s="404" t="s">
        <v>77</v>
      </c>
      <c r="D573" s="404" t="s">
        <v>124</v>
      </c>
      <c r="E573" s="407">
        <v>6</v>
      </c>
      <c r="F573" s="404"/>
      <c r="G573" s="404"/>
      <c r="H573" s="404"/>
      <c r="I573" s="415">
        <v>21.6083</v>
      </c>
      <c r="J573" s="415">
        <v>129.6498</v>
      </c>
    </row>
    <row r="574" spans="1:10" s="296" customFormat="1" ht="20.100000000000001" customHeight="1" x14ac:dyDescent="0.25">
      <c r="A574" s="454"/>
      <c r="B574" s="454"/>
      <c r="C574" s="454"/>
      <c r="D574" s="454"/>
      <c r="E574" s="454"/>
      <c r="F574" s="454" t="s">
        <v>167</v>
      </c>
      <c r="G574" s="454"/>
      <c r="H574" s="454"/>
      <c r="I574" s="454"/>
      <c r="J574" s="416">
        <v>129.6498</v>
      </c>
    </row>
    <row r="575" spans="1:10" s="296" customFormat="1" ht="20.100000000000001" customHeight="1" x14ac:dyDescent="0.25">
      <c r="A575" s="454"/>
      <c r="B575" s="454"/>
      <c r="C575" s="454"/>
      <c r="D575" s="454"/>
      <c r="E575" s="454"/>
      <c r="F575" s="454" t="s">
        <v>168</v>
      </c>
      <c r="G575" s="454"/>
      <c r="H575" s="454"/>
      <c r="I575" s="454"/>
      <c r="J575" s="416">
        <v>0</v>
      </c>
    </row>
    <row r="576" spans="1:10" s="296" customFormat="1" ht="20.100000000000001" customHeight="1" x14ac:dyDescent="0.25">
      <c r="A576" s="454"/>
      <c r="B576" s="454"/>
      <c r="C576" s="454"/>
      <c r="D576" s="454"/>
      <c r="E576" s="454"/>
      <c r="F576" s="454" t="s">
        <v>169</v>
      </c>
      <c r="G576" s="454"/>
      <c r="H576" s="454"/>
      <c r="I576" s="454"/>
      <c r="J576" s="416">
        <v>377.58609999999999</v>
      </c>
    </row>
    <row r="577" spans="1:10" s="296" customFormat="1" ht="20.100000000000001" customHeight="1" x14ac:dyDescent="0.25">
      <c r="A577" s="454"/>
      <c r="B577" s="454"/>
      <c r="C577" s="454"/>
      <c r="D577" s="454"/>
      <c r="E577" s="454"/>
      <c r="F577" s="454" t="s">
        <v>170</v>
      </c>
      <c r="G577" s="454"/>
      <c r="H577" s="454"/>
      <c r="I577" s="454"/>
      <c r="J577" s="416">
        <v>0</v>
      </c>
    </row>
    <row r="578" spans="1:10" s="296" customFormat="1" ht="20.100000000000001" customHeight="1" x14ac:dyDescent="0.25">
      <c r="A578" s="454"/>
      <c r="B578" s="454"/>
      <c r="C578" s="454"/>
      <c r="D578" s="454"/>
      <c r="E578" s="454"/>
      <c r="F578" s="454" t="s">
        <v>171</v>
      </c>
      <c r="G578" s="454"/>
      <c r="H578" s="454"/>
      <c r="I578" s="454"/>
      <c r="J578" s="416">
        <v>0</v>
      </c>
    </row>
    <row r="579" spans="1:10" s="296" customFormat="1" ht="20.100000000000001" customHeight="1" x14ac:dyDescent="0.25">
      <c r="A579" s="454"/>
      <c r="B579" s="454"/>
      <c r="C579" s="454"/>
      <c r="D579" s="454"/>
      <c r="E579" s="454"/>
      <c r="F579" s="454" t="s">
        <v>172</v>
      </c>
      <c r="G579" s="454"/>
      <c r="H579" s="454"/>
      <c r="I579" s="454"/>
      <c r="J579" s="416">
        <v>11.84</v>
      </c>
    </row>
    <row r="580" spans="1:10" s="296" customFormat="1" ht="20.100000000000001" customHeight="1" x14ac:dyDescent="0.25">
      <c r="A580" s="454"/>
      <c r="B580" s="454"/>
      <c r="C580" s="454"/>
      <c r="D580" s="454"/>
      <c r="E580" s="454"/>
      <c r="F580" s="454" t="s">
        <v>173</v>
      </c>
      <c r="G580" s="454"/>
      <c r="H580" s="454"/>
      <c r="I580" s="454"/>
      <c r="J580" s="416">
        <v>31.890699999999999</v>
      </c>
    </row>
    <row r="581" spans="1:10" s="296" customFormat="1" ht="15" x14ac:dyDescent="0.25">
      <c r="A581" s="409"/>
      <c r="B581" s="409"/>
      <c r="C581" s="409"/>
      <c r="D581" s="409"/>
      <c r="E581" s="409"/>
      <c r="F581" s="410"/>
      <c r="G581" s="409"/>
      <c r="H581" s="410"/>
      <c r="I581" s="409"/>
      <c r="J581" s="410"/>
    </row>
    <row r="582" spans="1:10" s="296" customFormat="1" ht="15.75" thickBot="1" x14ac:dyDescent="0.3">
      <c r="A582" s="409"/>
      <c r="B582" s="409"/>
      <c r="C582" s="409"/>
      <c r="D582" s="409"/>
      <c r="E582" s="409" t="s">
        <v>116</v>
      </c>
      <c r="F582" s="410">
        <v>7.45</v>
      </c>
      <c r="G582" s="409"/>
      <c r="H582" s="455" t="s">
        <v>117</v>
      </c>
      <c r="I582" s="455"/>
      <c r="J582" s="410">
        <v>39.340000000000003</v>
      </c>
    </row>
    <row r="583" spans="1:10" s="296" customFormat="1" ht="0.95" customHeight="1" thickTop="1" x14ac:dyDescent="0.25">
      <c r="A583" s="411"/>
      <c r="B583" s="411"/>
      <c r="C583" s="411"/>
      <c r="D583" s="411"/>
      <c r="E583" s="411"/>
      <c r="F583" s="411"/>
      <c r="G583" s="411"/>
      <c r="H583" s="411"/>
      <c r="I583" s="411"/>
      <c r="J583" s="411"/>
    </row>
    <row r="584" spans="1:10" s="296" customFormat="1" ht="18" customHeight="1" x14ac:dyDescent="0.25">
      <c r="A584" s="412"/>
      <c r="B584" s="413" t="s">
        <v>67</v>
      </c>
      <c r="C584" s="412" t="s">
        <v>68</v>
      </c>
      <c r="D584" s="412" t="s">
        <v>1</v>
      </c>
      <c r="E584" s="457" t="s">
        <v>110</v>
      </c>
      <c r="F584" s="457"/>
      <c r="G584" s="414" t="s">
        <v>2</v>
      </c>
      <c r="H584" s="413" t="s">
        <v>3</v>
      </c>
      <c r="I584" s="413" t="s">
        <v>69</v>
      </c>
      <c r="J584" s="413" t="s">
        <v>45</v>
      </c>
    </row>
    <row r="585" spans="1:10" s="296" customFormat="1" ht="26.1" customHeight="1" x14ac:dyDescent="0.25">
      <c r="A585" s="394" t="s">
        <v>111</v>
      </c>
      <c r="B585" s="395" t="s">
        <v>346</v>
      </c>
      <c r="C585" s="394" t="s">
        <v>77</v>
      </c>
      <c r="D585" s="394" t="s">
        <v>313</v>
      </c>
      <c r="E585" s="458" t="s">
        <v>94</v>
      </c>
      <c r="F585" s="458"/>
      <c r="G585" s="396" t="s">
        <v>14</v>
      </c>
      <c r="H585" s="397">
        <v>1</v>
      </c>
      <c r="I585" s="398">
        <v>459.29</v>
      </c>
      <c r="J585" s="398">
        <v>459.29</v>
      </c>
    </row>
    <row r="586" spans="1:10" s="296" customFormat="1" ht="15" customHeight="1" x14ac:dyDescent="0.25">
      <c r="A586" s="457" t="s">
        <v>155</v>
      </c>
      <c r="B586" s="456" t="s">
        <v>67</v>
      </c>
      <c r="C586" s="457" t="s">
        <v>68</v>
      </c>
      <c r="D586" s="457" t="s">
        <v>156</v>
      </c>
      <c r="E586" s="456" t="s">
        <v>157</v>
      </c>
      <c r="F586" s="459" t="s">
        <v>158</v>
      </c>
      <c r="G586" s="456"/>
      <c r="H586" s="459" t="s">
        <v>159</v>
      </c>
      <c r="I586" s="456"/>
      <c r="J586" s="456" t="s">
        <v>160</v>
      </c>
    </row>
    <row r="587" spans="1:10" s="296" customFormat="1" ht="15" customHeight="1" x14ac:dyDescent="0.25">
      <c r="A587" s="456"/>
      <c r="B587" s="456"/>
      <c r="C587" s="456"/>
      <c r="D587" s="456"/>
      <c r="E587" s="456"/>
      <c r="F587" s="413" t="s">
        <v>161</v>
      </c>
      <c r="G587" s="413" t="s">
        <v>162</v>
      </c>
      <c r="H587" s="413" t="s">
        <v>161</v>
      </c>
      <c r="I587" s="413" t="s">
        <v>162</v>
      </c>
      <c r="J587" s="456"/>
    </row>
    <row r="588" spans="1:10" s="296" customFormat="1" ht="26.1" customHeight="1" x14ac:dyDescent="0.25">
      <c r="A588" s="404" t="s">
        <v>120</v>
      </c>
      <c r="B588" s="405" t="s">
        <v>347</v>
      </c>
      <c r="C588" s="404" t="s">
        <v>77</v>
      </c>
      <c r="D588" s="404" t="s">
        <v>348</v>
      </c>
      <c r="E588" s="407">
        <v>1</v>
      </c>
      <c r="F588" s="408">
        <v>1</v>
      </c>
      <c r="G588" s="408">
        <v>0</v>
      </c>
      <c r="H588" s="415">
        <v>1.2189000000000001</v>
      </c>
      <c r="I588" s="415">
        <v>0.81879999999999997</v>
      </c>
      <c r="J588" s="415">
        <v>1.2189000000000001</v>
      </c>
    </row>
    <row r="589" spans="1:10" s="296" customFormat="1" ht="26.1" customHeight="1" x14ac:dyDescent="0.25">
      <c r="A589" s="404" t="s">
        <v>120</v>
      </c>
      <c r="B589" s="405" t="s">
        <v>349</v>
      </c>
      <c r="C589" s="404" t="s">
        <v>77</v>
      </c>
      <c r="D589" s="404" t="s">
        <v>350</v>
      </c>
      <c r="E589" s="407">
        <v>1</v>
      </c>
      <c r="F589" s="408">
        <v>1</v>
      </c>
      <c r="G589" s="408">
        <v>0</v>
      </c>
      <c r="H589" s="415">
        <v>52.9925</v>
      </c>
      <c r="I589" s="415">
        <v>33.902900000000002</v>
      </c>
      <c r="J589" s="415">
        <v>52.9925</v>
      </c>
    </row>
    <row r="590" spans="1:10" s="296" customFormat="1" ht="26.1" customHeight="1" x14ac:dyDescent="0.25">
      <c r="A590" s="404" t="s">
        <v>120</v>
      </c>
      <c r="B590" s="405" t="s">
        <v>351</v>
      </c>
      <c r="C590" s="404" t="s">
        <v>77</v>
      </c>
      <c r="D590" s="404" t="s">
        <v>352</v>
      </c>
      <c r="E590" s="407">
        <v>4</v>
      </c>
      <c r="F590" s="408">
        <v>0.9</v>
      </c>
      <c r="G590" s="408">
        <v>0.1</v>
      </c>
      <c r="H590" s="415">
        <v>0.7621</v>
      </c>
      <c r="I590" s="415">
        <v>0.5181</v>
      </c>
      <c r="J590" s="415">
        <v>2.9508000000000001</v>
      </c>
    </row>
    <row r="591" spans="1:10" s="296" customFormat="1" ht="26.1" customHeight="1" x14ac:dyDescent="0.25">
      <c r="A591" s="404" t="s">
        <v>120</v>
      </c>
      <c r="B591" s="405" t="s">
        <v>353</v>
      </c>
      <c r="C591" s="404" t="s">
        <v>77</v>
      </c>
      <c r="D591" s="404" t="s">
        <v>354</v>
      </c>
      <c r="E591" s="407">
        <v>3</v>
      </c>
      <c r="F591" s="408">
        <v>0.41</v>
      </c>
      <c r="G591" s="408">
        <v>0.59</v>
      </c>
      <c r="H591" s="415">
        <v>1.6015999999999999</v>
      </c>
      <c r="I591" s="415">
        <v>1.0888</v>
      </c>
      <c r="J591" s="415">
        <v>3.8971</v>
      </c>
    </row>
    <row r="592" spans="1:10" s="296" customFormat="1" ht="20.100000000000001" customHeight="1" x14ac:dyDescent="0.25">
      <c r="A592" s="454"/>
      <c r="B592" s="454"/>
      <c r="C592" s="454"/>
      <c r="D592" s="454"/>
      <c r="E592" s="454"/>
      <c r="F592" s="454" t="s">
        <v>163</v>
      </c>
      <c r="G592" s="454"/>
      <c r="H592" s="454"/>
      <c r="I592" s="454"/>
      <c r="J592" s="416">
        <v>61.0593</v>
      </c>
    </row>
    <row r="593" spans="1:10" s="296" customFormat="1" ht="20.100000000000001" customHeight="1" x14ac:dyDescent="0.25">
      <c r="A593" s="412" t="s">
        <v>164</v>
      </c>
      <c r="B593" s="413" t="s">
        <v>67</v>
      </c>
      <c r="C593" s="412" t="s">
        <v>68</v>
      </c>
      <c r="D593" s="412" t="s">
        <v>125</v>
      </c>
      <c r="E593" s="413" t="s">
        <v>157</v>
      </c>
      <c r="F593" s="456" t="s">
        <v>165</v>
      </c>
      <c r="G593" s="456"/>
      <c r="H593" s="456"/>
      <c r="I593" s="456"/>
      <c r="J593" s="413" t="s">
        <v>160</v>
      </c>
    </row>
    <row r="594" spans="1:10" s="296" customFormat="1" ht="24" customHeight="1" x14ac:dyDescent="0.25">
      <c r="A594" s="404" t="s">
        <v>120</v>
      </c>
      <c r="B594" s="405" t="s">
        <v>355</v>
      </c>
      <c r="C594" s="404" t="s">
        <v>77</v>
      </c>
      <c r="D594" s="404" t="s">
        <v>356</v>
      </c>
      <c r="E594" s="407">
        <v>1</v>
      </c>
      <c r="F594" s="404"/>
      <c r="G594" s="404"/>
      <c r="H594" s="404"/>
      <c r="I594" s="415">
        <v>30.410299999999999</v>
      </c>
      <c r="J594" s="415">
        <v>30.410299999999999</v>
      </c>
    </row>
    <row r="595" spans="1:10" s="296" customFormat="1" ht="24" customHeight="1" x14ac:dyDescent="0.25">
      <c r="A595" s="404" t="s">
        <v>120</v>
      </c>
      <c r="B595" s="405" t="s">
        <v>166</v>
      </c>
      <c r="C595" s="404" t="s">
        <v>77</v>
      </c>
      <c r="D595" s="404" t="s">
        <v>124</v>
      </c>
      <c r="E595" s="407">
        <v>9</v>
      </c>
      <c r="F595" s="404"/>
      <c r="G595" s="404"/>
      <c r="H595" s="404"/>
      <c r="I595" s="415">
        <v>21.6083</v>
      </c>
      <c r="J595" s="415">
        <v>194.47470000000001</v>
      </c>
    </row>
    <row r="596" spans="1:10" s="296" customFormat="1" ht="20.100000000000001" customHeight="1" x14ac:dyDescent="0.25">
      <c r="A596" s="454"/>
      <c r="B596" s="454"/>
      <c r="C596" s="454"/>
      <c r="D596" s="454"/>
      <c r="E596" s="454"/>
      <c r="F596" s="454" t="s">
        <v>167</v>
      </c>
      <c r="G596" s="454"/>
      <c r="H596" s="454"/>
      <c r="I596" s="454"/>
      <c r="J596" s="416">
        <v>224.88499999999999</v>
      </c>
    </row>
    <row r="597" spans="1:10" s="296" customFormat="1" ht="20.100000000000001" customHeight="1" x14ac:dyDescent="0.25">
      <c r="A597" s="454"/>
      <c r="B597" s="454"/>
      <c r="C597" s="454"/>
      <c r="D597" s="454"/>
      <c r="E597" s="454"/>
      <c r="F597" s="454" t="s">
        <v>168</v>
      </c>
      <c r="G597" s="454"/>
      <c r="H597" s="454"/>
      <c r="I597" s="454"/>
      <c r="J597" s="416">
        <v>0</v>
      </c>
    </row>
    <row r="598" spans="1:10" s="296" customFormat="1" ht="20.100000000000001" customHeight="1" x14ac:dyDescent="0.25">
      <c r="A598" s="454"/>
      <c r="B598" s="454"/>
      <c r="C598" s="454"/>
      <c r="D598" s="454"/>
      <c r="E598" s="454"/>
      <c r="F598" s="454" t="s">
        <v>169</v>
      </c>
      <c r="G598" s="454"/>
      <c r="H598" s="454"/>
      <c r="I598" s="454"/>
      <c r="J598" s="416">
        <v>285.9443</v>
      </c>
    </row>
    <row r="599" spans="1:10" s="296" customFormat="1" ht="20.100000000000001" customHeight="1" x14ac:dyDescent="0.25">
      <c r="A599" s="454"/>
      <c r="B599" s="454"/>
      <c r="C599" s="454"/>
      <c r="D599" s="454"/>
      <c r="E599" s="454"/>
      <c r="F599" s="454" t="s">
        <v>170</v>
      </c>
      <c r="G599" s="454"/>
      <c r="H599" s="454"/>
      <c r="I599" s="454"/>
      <c r="J599" s="416">
        <v>0</v>
      </c>
    </row>
    <row r="600" spans="1:10" s="296" customFormat="1" ht="20.100000000000001" customHeight="1" x14ac:dyDescent="0.25">
      <c r="A600" s="454"/>
      <c r="B600" s="454"/>
      <c r="C600" s="454"/>
      <c r="D600" s="454"/>
      <c r="E600" s="454"/>
      <c r="F600" s="454" t="s">
        <v>171</v>
      </c>
      <c r="G600" s="454"/>
      <c r="H600" s="454"/>
      <c r="I600" s="454"/>
      <c r="J600" s="416">
        <v>0</v>
      </c>
    </row>
    <row r="601" spans="1:10" s="296" customFormat="1" ht="20.100000000000001" customHeight="1" x14ac:dyDescent="0.25">
      <c r="A601" s="454"/>
      <c r="B601" s="454"/>
      <c r="C601" s="454"/>
      <c r="D601" s="454"/>
      <c r="E601" s="454"/>
      <c r="F601" s="454" t="s">
        <v>172</v>
      </c>
      <c r="G601" s="454"/>
      <c r="H601" s="454"/>
      <c r="I601" s="454"/>
      <c r="J601" s="416">
        <v>3.9289999999999998</v>
      </c>
    </row>
    <row r="602" spans="1:10" s="296" customFormat="1" ht="20.100000000000001" customHeight="1" x14ac:dyDescent="0.25">
      <c r="A602" s="454"/>
      <c r="B602" s="454"/>
      <c r="C602" s="454"/>
      <c r="D602" s="454"/>
      <c r="E602" s="454"/>
      <c r="F602" s="454" t="s">
        <v>173</v>
      </c>
      <c r="G602" s="454"/>
      <c r="H602" s="454"/>
      <c r="I602" s="454"/>
      <c r="J602" s="416">
        <v>72.778099999999995</v>
      </c>
    </row>
    <row r="603" spans="1:10" s="296" customFormat="1" ht="20.100000000000001" customHeight="1" x14ac:dyDescent="0.25">
      <c r="A603" s="412" t="s">
        <v>210</v>
      </c>
      <c r="B603" s="413" t="s">
        <v>68</v>
      </c>
      <c r="C603" s="412" t="s">
        <v>67</v>
      </c>
      <c r="D603" s="412" t="s">
        <v>54</v>
      </c>
      <c r="E603" s="413" t="s">
        <v>157</v>
      </c>
      <c r="F603" s="413" t="s">
        <v>187</v>
      </c>
      <c r="G603" s="456" t="s">
        <v>188</v>
      </c>
      <c r="H603" s="456"/>
      <c r="I603" s="456"/>
      <c r="J603" s="413" t="s">
        <v>160</v>
      </c>
    </row>
    <row r="604" spans="1:10" s="296" customFormat="1" ht="26.1" customHeight="1" x14ac:dyDescent="0.25">
      <c r="A604" s="404" t="s">
        <v>120</v>
      </c>
      <c r="B604" s="405" t="s">
        <v>77</v>
      </c>
      <c r="C604" s="404" t="s">
        <v>357</v>
      </c>
      <c r="D604" s="404" t="s">
        <v>358</v>
      </c>
      <c r="E604" s="407">
        <v>0.84645999999999999</v>
      </c>
      <c r="F604" s="406" t="s">
        <v>32</v>
      </c>
      <c r="G604" s="461">
        <v>6.1856</v>
      </c>
      <c r="H604" s="461"/>
      <c r="I604" s="460"/>
      <c r="J604" s="415">
        <v>5.2359</v>
      </c>
    </row>
    <row r="605" spans="1:10" s="296" customFormat="1" ht="24" customHeight="1" x14ac:dyDescent="0.25">
      <c r="A605" s="404" t="s">
        <v>120</v>
      </c>
      <c r="B605" s="405" t="s">
        <v>77</v>
      </c>
      <c r="C605" s="404" t="s">
        <v>359</v>
      </c>
      <c r="D605" s="404" t="s">
        <v>360</v>
      </c>
      <c r="E605" s="407">
        <v>0.63334000000000001</v>
      </c>
      <c r="F605" s="406" t="s">
        <v>14</v>
      </c>
      <c r="G605" s="461">
        <v>148.20490000000001</v>
      </c>
      <c r="H605" s="461"/>
      <c r="I605" s="460"/>
      <c r="J605" s="415">
        <v>93.864099999999993</v>
      </c>
    </row>
    <row r="606" spans="1:10" s="296" customFormat="1" ht="24" customHeight="1" x14ac:dyDescent="0.25">
      <c r="A606" s="404" t="s">
        <v>120</v>
      </c>
      <c r="B606" s="405" t="s">
        <v>77</v>
      </c>
      <c r="C606" s="404" t="s">
        <v>213</v>
      </c>
      <c r="D606" s="404" t="s">
        <v>214</v>
      </c>
      <c r="E606" s="407">
        <v>0.36753999999999998</v>
      </c>
      <c r="F606" s="406" t="s">
        <v>14</v>
      </c>
      <c r="G606" s="461">
        <v>132.30690000000001</v>
      </c>
      <c r="H606" s="461"/>
      <c r="I606" s="460"/>
      <c r="J606" s="415">
        <v>48.628100000000003</v>
      </c>
    </row>
    <row r="607" spans="1:10" s="296" customFormat="1" ht="24" customHeight="1" x14ac:dyDescent="0.25">
      <c r="A607" s="404" t="s">
        <v>120</v>
      </c>
      <c r="B607" s="405" t="s">
        <v>77</v>
      </c>
      <c r="C607" s="404" t="s">
        <v>361</v>
      </c>
      <c r="D607" s="404" t="s">
        <v>362</v>
      </c>
      <c r="E607" s="407">
        <v>0.36753999999999998</v>
      </c>
      <c r="F607" s="406" t="s">
        <v>14</v>
      </c>
      <c r="G607" s="461">
        <v>127.9636</v>
      </c>
      <c r="H607" s="461"/>
      <c r="I607" s="460"/>
      <c r="J607" s="415">
        <v>47.031700000000001</v>
      </c>
    </row>
    <row r="608" spans="1:10" s="296" customFormat="1" ht="24" customHeight="1" x14ac:dyDescent="0.25">
      <c r="A608" s="404" t="s">
        <v>120</v>
      </c>
      <c r="B608" s="405" t="s">
        <v>77</v>
      </c>
      <c r="C608" s="404" t="s">
        <v>363</v>
      </c>
      <c r="D608" s="404" t="s">
        <v>364</v>
      </c>
      <c r="E608" s="407">
        <v>282.15206999999998</v>
      </c>
      <c r="F608" s="406" t="s">
        <v>32</v>
      </c>
      <c r="G608" s="461">
        <v>0.67959999999999998</v>
      </c>
      <c r="H608" s="461"/>
      <c r="I608" s="460"/>
      <c r="J608" s="415">
        <v>191.75049999999999</v>
      </c>
    </row>
    <row r="609" spans="1:10" s="296" customFormat="1" ht="20.100000000000001" customHeight="1" x14ac:dyDescent="0.25">
      <c r="A609" s="454"/>
      <c r="B609" s="454"/>
      <c r="C609" s="454"/>
      <c r="D609" s="454"/>
      <c r="E609" s="454"/>
      <c r="F609" s="454" t="s">
        <v>215</v>
      </c>
      <c r="G609" s="454"/>
      <c r="H609" s="454"/>
      <c r="I609" s="454"/>
      <c r="J609" s="416">
        <v>386.51029999999997</v>
      </c>
    </row>
    <row r="610" spans="1:10" s="296" customFormat="1" ht="15" x14ac:dyDescent="0.25">
      <c r="A610" s="409"/>
      <c r="B610" s="409"/>
      <c r="C610" s="409"/>
      <c r="D610" s="409"/>
      <c r="E610" s="409"/>
      <c r="F610" s="410"/>
      <c r="G610" s="409"/>
      <c r="H610" s="410"/>
      <c r="I610" s="409"/>
      <c r="J610" s="410"/>
    </row>
    <row r="611" spans="1:10" s="296" customFormat="1" ht="15.75" thickBot="1" x14ac:dyDescent="0.3">
      <c r="A611" s="409"/>
      <c r="B611" s="409"/>
      <c r="C611" s="409"/>
      <c r="D611" s="409"/>
      <c r="E611" s="409" t="s">
        <v>116</v>
      </c>
      <c r="F611" s="410">
        <v>107.42</v>
      </c>
      <c r="G611" s="409"/>
      <c r="H611" s="455" t="s">
        <v>117</v>
      </c>
      <c r="I611" s="455"/>
      <c r="J611" s="410">
        <v>566.71</v>
      </c>
    </row>
    <row r="612" spans="1:10" s="296" customFormat="1" ht="0.95" customHeight="1" thickTop="1" thickBot="1" x14ac:dyDescent="0.3">
      <c r="A612" s="411"/>
      <c r="B612" s="411"/>
      <c r="C612" s="411"/>
      <c r="D612" s="411"/>
      <c r="E612" s="411"/>
      <c r="F612" s="411"/>
      <c r="G612" s="411"/>
      <c r="H612" s="411"/>
      <c r="I612" s="411"/>
      <c r="J612" s="411"/>
    </row>
    <row r="613" spans="1:10" s="296" customFormat="1" ht="0.95" customHeight="1" thickTop="1" x14ac:dyDescent="0.25">
      <c r="A613" s="411"/>
      <c r="B613" s="411"/>
      <c r="C613" s="411"/>
      <c r="D613" s="411"/>
      <c r="E613" s="411"/>
      <c r="F613" s="411"/>
      <c r="G613" s="411"/>
      <c r="H613" s="411"/>
      <c r="I613" s="411"/>
      <c r="J613" s="411"/>
    </row>
    <row r="614" spans="1:10" s="296" customFormat="1" ht="18" customHeight="1" x14ac:dyDescent="0.25">
      <c r="A614" s="412"/>
      <c r="B614" s="413" t="s">
        <v>67</v>
      </c>
      <c r="C614" s="412" t="s">
        <v>68</v>
      </c>
      <c r="D614" s="412" t="s">
        <v>1</v>
      </c>
      <c r="E614" s="457" t="s">
        <v>110</v>
      </c>
      <c r="F614" s="457"/>
      <c r="G614" s="414" t="s">
        <v>2</v>
      </c>
      <c r="H614" s="413" t="s">
        <v>3</v>
      </c>
      <c r="I614" s="413" t="s">
        <v>69</v>
      </c>
      <c r="J614" s="413" t="s">
        <v>45</v>
      </c>
    </row>
    <row r="615" spans="1:10" s="296" customFormat="1" ht="39" customHeight="1" x14ac:dyDescent="0.25">
      <c r="A615" s="394" t="s">
        <v>111</v>
      </c>
      <c r="B615" s="395" t="s">
        <v>625</v>
      </c>
      <c r="C615" s="394" t="s">
        <v>77</v>
      </c>
      <c r="D615" s="394" t="s">
        <v>614</v>
      </c>
      <c r="E615" s="458" t="s">
        <v>94</v>
      </c>
      <c r="F615" s="458"/>
      <c r="G615" s="396" t="s">
        <v>32</v>
      </c>
      <c r="H615" s="397">
        <v>1</v>
      </c>
      <c r="I615" s="398">
        <v>67.5</v>
      </c>
      <c r="J615" s="398">
        <v>67.5</v>
      </c>
    </row>
    <row r="616" spans="1:10" s="296" customFormat="1" ht="20.100000000000001" customHeight="1" x14ac:dyDescent="0.25">
      <c r="A616" s="412" t="s">
        <v>164</v>
      </c>
      <c r="B616" s="413" t="s">
        <v>67</v>
      </c>
      <c r="C616" s="412" t="s">
        <v>68</v>
      </c>
      <c r="D616" s="412" t="s">
        <v>125</v>
      </c>
      <c r="E616" s="413" t="s">
        <v>157</v>
      </c>
      <c r="F616" s="456" t="s">
        <v>165</v>
      </c>
      <c r="G616" s="456"/>
      <c r="H616" s="456"/>
      <c r="I616" s="456"/>
      <c r="J616" s="413" t="s">
        <v>160</v>
      </c>
    </row>
    <row r="617" spans="1:10" s="296" customFormat="1" ht="24" customHeight="1" x14ac:dyDescent="0.25">
      <c r="A617" s="404" t="s">
        <v>120</v>
      </c>
      <c r="B617" s="405" t="s">
        <v>166</v>
      </c>
      <c r="C617" s="404" t="s">
        <v>77</v>
      </c>
      <c r="D617" s="404" t="s">
        <v>124</v>
      </c>
      <c r="E617" s="407">
        <v>2</v>
      </c>
      <c r="F617" s="404"/>
      <c r="G617" s="404"/>
      <c r="H617" s="404"/>
      <c r="I617" s="415">
        <v>21.6083</v>
      </c>
      <c r="J617" s="415">
        <v>43.2166</v>
      </c>
    </row>
    <row r="618" spans="1:10" s="296" customFormat="1" ht="20.100000000000001" customHeight="1" x14ac:dyDescent="0.25">
      <c r="A618" s="454"/>
      <c r="B618" s="454"/>
      <c r="C618" s="454"/>
      <c r="D618" s="454"/>
      <c r="E618" s="454"/>
      <c r="F618" s="454" t="s">
        <v>167</v>
      </c>
      <c r="G618" s="454"/>
      <c r="H618" s="454"/>
      <c r="I618" s="454"/>
      <c r="J618" s="416">
        <v>43.2166</v>
      </c>
    </row>
    <row r="619" spans="1:10" s="296" customFormat="1" ht="20.100000000000001" customHeight="1" x14ac:dyDescent="0.25">
      <c r="A619" s="454"/>
      <c r="B619" s="454"/>
      <c r="C619" s="454"/>
      <c r="D619" s="454"/>
      <c r="E619" s="454"/>
      <c r="F619" s="454" t="s">
        <v>168</v>
      </c>
      <c r="G619" s="454"/>
      <c r="H619" s="454"/>
      <c r="I619" s="454"/>
      <c r="J619" s="416">
        <v>0</v>
      </c>
    </row>
    <row r="620" spans="1:10" s="296" customFormat="1" ht="20.100000000000001" customHeight="1" x14ac:dyDescent="0.25">
      <c r="A620" s="454"/>
      <c r="B620" s="454"/>
      <c r="C620" s="454"/>
      <c r="D620" s="454"/>
      <c r="E620" s="454"/>
      <c r="F620" s="454" t="s">
        <v>169</v>
      </c>
      <c r="G620" s="454"/>
      <c r="H620" s="454"/>
      <c r="I620" s="454"/>
      <c r="J620" s="416">
        <v>43.2166</v>
      </c>
    </row>
    <row r="621" spans="1:10" s="296" customFormat="1" ht="20.100000000000001" customHeight="1" x14ac:dyDescent="0.25">
      <c r="A621" s="454"/>
      <c r="B621" s="454"/>
      <c r="C621" s="454"/>
      <c r="D621" s="454"/>
      <c r="E621" s="454"/>
      <c r="F621" s="454" t="s">
        <v>170</v>
      </c>
      <c r="G621" s="454"/>
      <c r="H621" s="454"/>
      <c r="I621" s="454"/>
      <c r="J621" s="416">
        <v>0</v>
      </c>
    </row>
    <row r="622" spans="1:10" s="296" customFormat="1" ht="20.100000000000001" customHeight="1" x14ac:dyDescent="0.25">
      <c r="A622" s="454"/>
      <c r="B622" s="454"/>
      <c r="C622" s="454"/>
      <c r="D622" s="454"/>
      <c r="E622" s="454"/>
      <c r="F622" s="454" t="s">
        <v>171</v>
      </c>
      <c r="G622" s="454"/>
      <c r="H622" s="454"/>
      <c r="I622" s="454"/>
      <c r="J622" s="416">
        <v>0</v>
      </c>
    </row>
    <row r="623" spans="1:10" s="296" customFormat="1" ht="20.100000000000001" customHeight="1" x14ac:dyDescent="0.25">
      <c r="A623" s="454"/>
      <c r="B623" s="454"/>
      <c r="C623" s="454"/>
      <c r="D623" s="454"/>
      <c r="E623" s="454"/>
      <c r="F623" s="454" t="s">
        <v>172</v>
      </c>
      <c r="G623" s="454"/>
      <c r="H623" s="454"/>
      <c r="I623" s="454"/>
      <c r="J623" s="416">
        <v>1</v>
      </c>
    </row>
    <row r="624" spans="1:10" s="296" customFormat="1" ht="20.100000000000001" customHeight="1" x14ac:dyDescent="0.25">
      <c r="A624" s="454"/>
      <c r="B624" s="454"/>
      <c r="C624" s="454"/>
      <c r="D624" s="454"/>
      <c r="E624" s="454"/>
      <c r="F624" s="454" t="s">
        <v>173</v>
      </c>
      <c r="G624" s="454"/>
      <c r="H624" s="454"/>
      <c r="I624" s="454"/>
      <c r="J624" s="416">
        <v>43.2166</v>
      </c>
    </row>
    <row r="625" spans="1:10" s="296" customFormat="1" ht="20.100000000000001" customHeight="1" x14ac:dyDescent="0.25">
      <c r="A625" s="412" t="s">
        <v>210</v>
      </c>
      <c r="B625" s="413" t="s">
        <v>68</v>
      </c>
      <c r="C625" s="412" t="s">
        <v>67</v>
      </c>
      <c r="D625" s="412" t="s">
        <v>54</v>
      </c>
      <c r="E625" s="413" t="s">
        <v>157</v>
      </c>
      <c r="F625" s="413" t="s">
        <v>187</v>
      </c>
      <c r="G625" s="456" t="s">
        <v>188</v>
      </c>
      <c r="H625" s="456"/>
      <c r="I625" s="456"/>
      <c r="J625" s="413" t="s">
        <v>160</v>
      </c>
    </row>
    <row r="626" spans="1:10" s="296" customFormat="1" ht="24" customHeight="1" x14ac:dyDescent="0.25">
      <c r="A626" s="404" t="s">
        <v>120</v>
      </c>
      <c r="B626" s="405" t="s">
        <v>77</v>
      </c>
      <c r="C626" s="404" t="s">
        <v>626</v>
      </c>
      <c r="D626" s="404" t="s">
        <v>627</v>
      </c>
      <c r="E626" s="407">
        <v>1</v>
      </c>
      <c r="F626" s="406" t="s">
        <v>32</v>
      </c>
      <c r="G626" s="461">
        <v>24.2865</v>
      </c>
      <c r="H626" s="461"/>
      <c r="I626" s="460"/>
      <c r="J626" s="415">
        <v>24.2865</v>
      </c>
    </row>
    <row r="627" spans="1:10" s="296" customFormat="1" ht="20.100000000000001" customHeight="1" x14ac:dyDescent="0.25">
      <c r="A627" s="454"/>
      <c r="B627" s="454"/>
      <c r="C627" s="454"/>
      <c r="D627" s="454"/>
      <c r="E627" s="454"/>
      <c r="F627" s="454" t="s">
        <v>215</v>
      </c>
      <c r="G627" s="454"/>
      <c r="H627" s="454"/>
      <c r="I627" s="454"/>
      <c r="J627" s="416">
        <v>24.2865</v>
      </c>
    </row>
    <row r="628" spans="1:10" s="296" customFormat="1" ht="15" x14ac:dyDescent="0.25">
      <c r="A628" s="409"/>
      <c r="B628" s="409"/>
      <c r="C628" s="409"/>
      <c r="D628" s="409"/>
      <c r="E628" s="409"/>
      <c r="F628" s="410"/>
      <c r="G628" s="409"/>
      <c r="H628" s="410"/>
      <c r="I628" s="409"/>
      <c r="J628" s="410"/>
    </row>
    <row r="629" spans="1:10" s="296" customFormat="1" ht="15.75" thickBot="1" x14ac:dyDescent="0.3">
      <c r="A629" s="409"/>
      <c r="B629" s="409"/>
      <c r="C629" s="409"/>
      <c r="D629" s="409"/>
      <c r="E629" s="409" t="s">
        <v>116</v>
      </c>
      <c r="F629" s="410">
        <v>15.78</v>
      </c>
      <c r="G629" s="409"/>
      <c r="H629" s="455" t="s">
        <v>117</v>
      </c>
      <c r="I629" s="455"/>
      <c r="J629" s="410">
        <v>83.28</v>
      </c>
    </row>
    <row r="630" spans="1:10" s="296" customFormat="1" ht="0.95" customHeight="1" thickTop="1" x14ac:dyDescent="0.25">
      <c r="A630" s="411"/>
      <c r="B630" s="411"/>
      <c r="C630" s="411"/>
      <c r="D630" s="411"/>
      <c r="E630" s="411"/>
      <c r="F630" s="411"/>
      <c r="G630" s="411"/>
      <c r="H630" s="411"/>
      <c r="I630" s="411"/>
      <c r="J630" s="411"/>
    </row>
    <row r="631" spans="1:10" s="296" customFormat="1" ht="18" customHeight="1" x14ac:dyDescent="0.25">
      <c r="A631" s="412"/>
      <c r="B631" s="413" t="s">
        <v>67</v>
      </c>
      <c r="C631" s="412" t="s">
        <v>68</v>
      </c>
      <c r="D631" s="412" t="s">
        <v>1</v>
      </c>
      <c r="E631" s="457" t="s">
        <v>110</v>
      </c>
      <c r="F631" s="457"/>
      <c r="G631" s="414" t="s">
        <v>2</v>
      </c>
      <c r="H631" s="413" t="s">
        <v>3</v>
      </c>
      <c r="I631" s="413" t="s">
        <v>69</v>
      </c>
      <c r="J631" s="413" t="s">
        <v>45</v>
      </c>
    </row>
    <row r="632" spans="1:10" s="296" customFormat="1" ht="26.1" customHeight="1" x14ac:dyDescent="0.25">
      <c r="A632" s="394" t="s">
        <v>111</v>
      </c>
      <c r="B632" s="395" t="s">
        <v>242</v>
      </c>
      <c r="C632" s="394" t="s">
        <v>77</v>
      </c>
      <c r="D632" s="394" t="s">
        <v>190</v>
      </c>
      <c r="E632" s="458" t="s">
        <v>94</v>
      </c>
      <c r="F632" s="458"/>
      <c r="G632" s="396" t="s">
        <v>14</v>
      </c>
      <c r="H632" s="397">
        <v>1</v>
      </c>
      <c r="I632" s="398">
        <v>1.44</v>
      </c>
      <c r="J632" s="398">
        <v>1.44</v>
      </c>
    </row>
    <row r="633" spans="1:10" s="296" customFormat="1" ht="15" customHeight="1" x14ac:dyDescent="0.25">
      <c r="A633" s="457" t="s">
        <v>155</v>
      </c>
      <c r="B633" s="456" t="s">
        <v>67</v>
      </c>
      <c r="C633" s="457" t="s">
        <v>68</v>
      </c>
      <c r="D633" s="457" t="s">
        <v>156</v>
      </c>
      <c r="E633" s="456" t="s">
        <v>157</v>
      </c>
      <c r="F633" s="459" t="s">
        <v>158</v>
      </c>
      <c r="G633" s="456"/>
      <c r="H633" s="459" t="s">
        <v>159</v>
      </c>
      <c r="I633" s="456"/>
      <c r="J633" s="456" t="s">
        <v>160</v>
      </c>
    </row>
    <row r="634" spans="1:10" s="296" customFormat="1" ht="15" customHeight="1" x14ac:dyDescent="0.25">
      <c r="A634" s="456"/>
      <c r="B634" s="456"/>
      <c r="C634" s="456"/>
      <c r="D634" s="456"/>
      <c r="E634" s="456"/>
      <c r="F634" s="413" t="s">
        <v>161</v>
      </c>
      <c r="G634" s="413" t="s">
        <v>162</v>
      </c>
      <c r="H634" s="413" t="s">
        <v>161</v>
      </c>
      <c r="I634" s="413" t="s">
        <v>162</v>
      </c>
      <c r="J634" s="456"/>
    </row>
    <row r="635" spans="1:10" s="296" customFormat="1" ht="26.1" customHeight="1" x14ac:dyDescent="0.25">
      <c r="A635" s="404" t="s">
        <v>120</v>
      </c>
      <c r="B635" s="405" t="s">
        <v>243</v>
      </c>
      <c r="C635" s="404" t="s">
        <v>77</v>
      </c>
      <c r="D635" s="404" t="s">
        <v>42</v>
      </c>
      <c r="E635" s="407">
        <v>1</v>
      </c>
      <c r="F635" s="408">
        <v>1</v>
      </c>
      <c r="G635" s="408">
        <v>0</v>
      </c>
      <c r="H635" s="415">
        <v>306.2364</v>
      </c>
      <c r="I635" s="415">
        <v>150.46369999999999</v>
      </c>
      <c r="J635" s="415">
        <v>306.2364</v>
      </c>
    </row>
    <row r="636" spans="1:10" s="296" customFormat="1" ht="20.100000000000001" customHeight="1" x14ac:dyDescent="0.25">
      <c r="A636" s="454"/>
      <c r="B636" s="454"/>
      <c r="C636" s="454"/>
      <c r="D636" s="454"/>
      <c r="E636" s="454"/>
      <c r="F636" s="454" t="s">
        <v>163</v>
      </c>
      <c r="G636" s="454"/>
      <c r="H636" s="454"/>
      <c r="I636" s="454"/>
      <c r="J636" s="416">
        <v>306.2364</v>
      </c>
    </row>
    <row r="637" spans="1:10" s="296" customFormat="1" ht="20.100000000000001" customHeight="1" x14ac:dyDescent="0.25">
      <c r="A637" s="412" t="s">
        <v>164</v>
      </c>
      <c r="B637" s="413" t="s">
        <v>67</v>
      </c>
      <c r="C637" s="412" t="s">
        <v>68</v>
      </c>
      <c r="D637" s="412" t="s">
        <v>125</v>
      </c>
      <c r="E637" s="413" t="s">
        <v>157</v>
      </c>
      <c r="F637" s="456" t="s">
        <v>165</v>
      </c>
      <c r="G637" s="456"/>
      <c r="H637" s="456"/>
      <c r="I637" s="456"/>
      <c r="J637" s="413" t="s">
        <v>160</v>
      </c>
    </row>
    <row r="638" spans="1:10" s="296" customFormat="1" ht="24" customHeight="1" x14ac:dyDescent="0.25">
      <c r="A638" s="404" t="s">
        <v>120</v>
      </c>
      <c r="B638" s="405" t="s">
        <v>166</v>
      </c>
      <c r="C638" s="404" t="s">
        <v>77</v>
      </c>
      <c r="D638" s="404" t="s">
        <v>124</v>
      </c>
      <c r="E638" s="407">
        <v>1</v>
      </c>
      <c r="F638" s="404"/>
      <c r="G638" s="404"/>
      <c r="H638" s="404"/>
      <c r="I638" s="415">
        <v>21.6083</v>
      </c>
      <c r="J638" s="415">
        <v>21.6083</v>
      </c>
    </row>
    <row r="639" spans="1:10" s="296" customFormat="1" ht="20.100000000000001" customHeight="1" x14ac:dyDescent="0.25">
      <c r="A639" s="454"/>
      <c r="B639" s="454"/>
      <c r="C639" s="454"/>
      <c r="D639" s="454"/>
      <c r="E639" s="454"/>
      <c r="F639" s="454" t="s">
        <v>167</v>
      </c>
      <c r="G639" s="454"/>
      <c r="H639" s="454"/>
      <c r="I639" s="454"/>
      <c r="J639" s="416">
        <v>21.6083</v>
      </c>
    </row>
    <row r="640" spans="1:10" s="296" customFormat="1" ht="20.100000000000001" customHeight="1" x14ac:dyDescent="0.25">
      <c r="A640" s="454"/>
      <c r="B640" s="454"/>
      <c r="C640" s="454"/>
      <c r="D640" s="454"/>
      <c r="E640" s="454"/>
      <c r="F640" s="454" t="s">
        <v>168</v>
      </c>
      <c r="G640" s="454"/>
      <c r="H640" s="454"/>
      <c r="I640" s="454"/>
      <c r="J640" s="416">
        <v>0</v>
      </c>
    </row>
    <row r="641" spans="1:10" s="296" customFormat="1" ht="20.100000000000001" customHeight="1" x14ac:dyDescent="0.25">
      <c r="A641" s="454"/>
      <c r="B641" s="454"/>
      <c r="C641" s="454"/>
      <c r="D641" s="454"/>
      <c r="E641" s="454"/>
      <c r="F641" s="454" t="s">
        <v>169</v>
      </c>
      <c r="G641" s="454"/>
      <c r="H641" s="454"/>
      <c r="I641" s="454"/>
      <c r="J641" s="416">
        <v>327.84469999999999</v>
      </c>
    </row>
    <row r="642" spans="1:10" s="296" customFormat="1" ht="20.100000000000001" customHeight="1" x14ac:dyDescent="0.25">
      <c r="A642" s="454"/>
      <c r="B642" s="454"/>
      <c r="C642" s="454"/>
      <c r="D642" s="454"/>
      <c r="E642" s="454"/>
      <c r="F642" s="454" t="s">
        <v>170</v>
      </c>
      <c r="G642" s="454"/>
      <c r="H642" s="454"/>
      <c r="I642" s="454"/>
      <c r="J642" s="416">
        <v>1.43E-2</v>
      </c>
    </row>
    <row r="643" spans="1:10" s="296" customFormat="1" ht="20.100000000000001" customHeight="1" x14ac:dyDescent="0.25">
      <c r="A643" s="454"/>
      <c r="B643" s="454"/>
      <c r="C643" s="454"/>
      <c r="D643" s="454"/>
      <c r="E643" s="454"/>
      <c r="F643" s="454" t="s">
        <v>171</v>
      </c>
      <c r="G643" s="454"/>
      <c r="H643" s="454"/>
      <c r="I643" s="454"/>
      <c r="J643" s="416">
        <v>2.0299999999999999E-2</v>
      </c>
    </row>
    <row r="644" spans="1:10" s="296" customFormat="1" ht="20.100000000000001" customHeight="1" x14ac:dyDescent="0.25">
      <c r="A644" s="454"/>
      <c r="B644" s="454"/>
      <c r="C644" s="454"/>
      <c r="D644" s="454"/>
      <c r="E644" s="454"/>
      <c r="F644" s="454" t="s">
        <v>172</v>
      </c>
      <c r="G644" s="454"/>
      <c r="H644" s="454"/>
      <c r="I644" s="454"/>
      <c r="J644" s="416">
        <v>230.19</v>
      </c>
    </row>
    <row r="645" spans="1:10" s="296" customFormat="1" ht="20.100000000000001" customHeight="1" x14ac:dyDescent="0.25">
      <c r="A645" s="454"/>
      <c r="B645" s="454"/>
      <c r="C645" s="454"/>
      <c r="D645" s="454"/>
      <c r="E645" s="454"/>
      <c r="F645" s="454" t="s">
        <v>173</v>
      </c>
      <c r="G645" s="454"/>
      <c r="H645" s="454"/>
      <c r="I645" s="454"/>
      <c r="J645" s="416">
        <v>1.4241999999999999</v>
      </c>
    </row>
    <row r="646" spans="1:10" s="296" customFormat="1" ht="15" x14ac:dyDescent="0.25">
      <c r="A646" s="409"/>
      <c r="B646" s="409"/>
      <c r="C646" s="409"/>
      <c r="D646" s="409"/>
      <c r="E646" s="409"/>
      <c r="F646" s="410"/>
      <c r="G646" s="409"/>
      <c r="H646" s="410"/>
      <c r="I646" s="409"/>
      <c r="J646" s="410"/>
    </row>
    <row r="647" spans="1:10" s="296" customFormat="1" ht="15.75" thickBot="1" x14ac:dyDescent="0.3">
      <c r="A647" s="409"/>
      <c r="B647" s="409"/>
      <c r="C647" s="409"/>
      <c r="D647" s="409"/>
      <c r="E647" s="409" t="s">
        <v>116</v>
      </c>
      <c r="F647" s="410">
        <v>0.33</v>
      </c>
      <c r="G647" s="409"/>
      <c r="H647" s="455" t="s">
        <v>117</v>
      </c>
      <c r="I647" s="455"/>
      <c r="J647" s="410">
        <v>1.77</v>
      </c>
    </row>
    <row r="648" spans="1:10" s="296" customFormat="1" ht="0.95" customHeight="1" thickTop="1" x14ac:dyDescent="0.25">
      <c r="A648" s="411"/>
      <c r="B648" s="411"/>
      <c r="C648" s="411"/>
      <c r="D648" s="411"/>
      <c r="E648" s="411"/>
      <c r="F648" s="411"/>
      <c r="G648" s="411"/>
      <c r="H648" s="411"/>
      <c r="I648" s="411"/>
      <c r="J648" s="411"/>
    </row>
    <row r="649" spans="1:10" s="296" customFormat="1" ht="18" customHeight="1" x14ac:dyDescent="0.25">
      <c r="A649" s="412"/>
      <c r="B649" s="413" t="s">
        <v>67</v>
      </c>
      <c r="C649" s="412" t="s">
        <v>68</v>
      </c>
      <c r="D649" s="412" t="s">
        <v>1</v>
      </c>
      <c r="E649" s="457" t="s">
        <v>110</v>
      </c>
      <c r="F649" s="457"/>
      <c r="G649" s="414" t="s">
        <v>2</v>
      </c>
      <c r="H649" s="413" t="s">
        <v>3</v>
      </c>
      <c r="I649" s="413" t="s">
        <v>69</v>
      </c>
      <c r="J649" s="413" t="s">
        <v>45</v>
      </c>
    </row>
    <row r="650" spans="1:10" s="296" customFormat="1" ht="26.1" customHeight="1" x14ac:dyDescent="0.25">
      <c r="A650" s="394" t="s">
        <v>111</v>
      </c>
      <c r="B650" s="395" t="s">
        <v>365</v>
      </c>
      <c r="C650" s="394" t="s">
        <v>77</v>
      </c>
      <c r="D650" s="394" t="s">
        <v>314</v>
      </c>
      <c r="E650" s="458" t="s">
        <v>94</v>
      </c>
      <c r="F650" s="458"/>
      <c r="G650" s="396" t="s">
        <v>14</v>
      </c>
      <c r="H650" s="397">
        <v>1</v>
      </c>
      <c r="I650" s="398">
        <v>43.83</v>
      </c>
      <c r="J650" s="398">
        <v>43.83</v>
      </c>
    </row>
    <row r="651" spans="1:10" s="296" customFormat="1" ht="20.100000000000001" customHeight="1" x14ac:dyDescent="0.25">
      <c r="A651" s="412" t="s">
        <v>164</v>
      </c>
      <c r="B651" s="413" t="s">
        <v>67</v>
      </c>
      <c r="C651" s="412" t="s">
        <v>68</v>
      </c>
      <c r="D651" s="412" t="s">
        <v>125</v>
      </c>
      <c r="E651" s="413" t="s">
        <v>157</v>
      </c>
      <c r="F651" s="456" t="s">
        <v>165</v>
      </c>
      <c r="G651" s="456"/>
      <c r="H651" s="456"/>
      <c r="I651" s="456"/>
      <c r="J651" s="413" t="s">
        <v>160</v>
      </c>
    </row>
    <row r="652" spans="1:10" s="296" customFormat="1" ht="24" customHeight="1" x14ac:dyDescent="0.25">
      <c r="A652" s="404" t="s">
        <v>120</v>
      </c>
      <c r="B652" s="405" t="s">
        <v>166</v>
      </c>
      <c r="C652" s="404" t="s">
        <v>77</v>
      </c>
      <c r="D652" s="404" t="s">
        <v>124</v>
      </c>
      <c r="E652" s="407">
        <v>1</v>
      </c>
      <c r="F652" s="404"/>
      <c r="G652" s="404"/>
      <c r="H652" s="404"/>
      <c r="I652" s="415">
        <v>21.6083</v>
      </c>
      <c r="J652" s="415">
        <v>21.6083</v>
      </c>
    </row>
    <row r="653" spans="1:10" s="296" customFormat="1" ht="20.100000000000001" customHeight="1" x14ac:dyDescent="0.25">
      <c r="A653" s="454"/>
      <c r="B653" s="454"/>
      <c r="C653" s="454"/>
      <c r="D653" s="454"/>
      <c r="E653" s="454"/>
      <c r="F653" s="454" t="s">
        <v>167</v>
      </c>
      <c r="G653" s="454"/>
      <c r="H653" s="454"/>
      <c r="I653" s="454"/>
      <c r="J653" s="416">
        <v>21.6083</v>
      </c>
    </row>
    <row r="654" spans="1:10" s="296" customFormat="1" ht="20.100000000000001" customHeight="1" x14ac:dyDescent="0.25">
      <c r="A654" s="454"/>
      <c r="B654" s="454"/>
      <c r="C654" s="454"/>
      <c r="D654" s="454"/>
      <c r="E654" s="454"/>
      <c r="F654" s="454" t="s">
        <v>168</v>
      </c>
      <c r="G654" s="454"/>
      <c r="H654" s="454"/>
      <c r="I654" s="454"/>
      <c r="J654" s="416">
        <v>0</v>
      </c>
    </row>
    <row r="655" spans="1:10" s="296" customFormat="1" ht="20.100000000000001" customHeight="1" x14ac:dyDescent="0.25">
      <c r="A655" s="454"/>
      <c r="B655" s="454"/>
      <c r="C655" s="454"/>
      <c r="D655" s="454"/>
      <c r="E655" s="454"/>
      <c r="F655" s="454" t="s">
        <v>169</v>
      </c>
      <c r="G655" s="454"/>
      <c r="H655" s="454"/>
      <c r="I655" s="454"/>
      <c r="J655" s="416">
        <v>21.6083</v>
      </c>
    </row>
    <row r="656" spans="1:10" s="296" customFormat="1" ht="20.100000000000001" customHeight="1" x14ac:dyDescent="0.25">
      <c r="A656" s="454"/>
      <c r="B656" s="454"/>
      <c r="C656" s="454"/>
      <c r="D656" s="454"/>
      <c r="E656" s="454"/>
      <c r="F656" s="454" t="s">
        <v>170</v>
      </c>
      <c r="G656" s="454"/>
      <c r="H656" s="454"/>
      <c r="I656" s="454"/>
      <c r="J656" s="416">
        <v>1.43E-2</v>
      </c>
    </row>
    <row r="657" spans="1:10" s="296" customFormat="1" ht="20.100000000000001" customHeight="1" x14ac:dyDescent="0.25">
      <c r="A657" s="454"/>
      <c r="B657" s="454"/>
      <c r="C657" s="454"/>
      <c r="D657" s="454"/>
      <c r="E657" s="454"/>
      <c r="F657" s="454" t="s">
        <v>171</v>
      </c>
      <c r="G657" s="454"/>
      <c r="H657" s="454"/>
      <c r="I657" s="454"/>
      <c r="J657" s="416">
        <v>0.61580000000000001</v>
      </c>
    </row>
    <row r="658" spans="1:10" s="296" customFormat="1" ht="20.100000000000001" customHeight="1" x14ac:dyDescent="0.25">
      <c r="A658" s="454"/>
      <c r="B658" s="454"/>
      <c r="C658" s="454"/>
      <c r="D658" s="454"/>
      <c r="E658" s="454"/>
      <c r="F658" s="454" t="s">
        <v>172</v>
      </c>
      <c r="G658" s="454"/>
      <c r="H658" s="454"/>
      <c r="I658" s="454"/>
      <c r="J658" s="416">
        <v>0.5</v>
      </c>
    </row>
    <row r="659" spans="1:10" s="296" customFormat="1" ht="20.100000000000001" customHeight="1" x14ac:dyDescent="0.25">
      <c r="A659" s="454"/>
      <c r="B659" s="454"/>
      <c r="C659" s="454"/>
      <c r="D659" s="454"/>
      <c r="E659" s="454"/>
      <c r="F659" s="454" t="s">
        <v>173</v>
      </c>
      <c r="G659" s="454"/>
      <c r="H659" s="454"/>
      <c r="I659" s="454"/>
      <c r="J659" s="416">
        <v>43.2166</v>
      </c>
    </row>
    <row r="660" spans="1:10" s="296" customFormat="1" ht="15" x14ac:dyDescent="0.25">
      <c r="A660" s="409"/>
      <c r="B660" s="409"/>
      <c r="C660" s="409"/>
      <c r="D660" s="409"/>
      <c r="E660" s="409"/>
      <c r="F660" s="410"/>
      <c r="G660" s="409"/>
      <c r="H660" s="410"/>
      <c r="I660" s="409"/>
      <c r="J660" s="410"/>
    </row>
    <row r="661" spans="1:10" s="296" customFormat="1" ht="15.75" thickBot="1" x14ac:dyDescent="0.3">
      <c r="A661" s="409"/>
      <c r="B661" s="409"/>
      <c r="C661" s="409"/>
      <c r="D661" s="409"/>
      <c r="E661" s="409" t="s">
        <v>116</v>
      </c>
      <c r="F661" s="410">
        <v>10.25</v>
      </c>
      <c r="G661" s="409"/>
      <c r="H661" s="455" t="s">
        <v>117</v>
      </c>
      <c r="I661" s="455"/>
      <c r="J661" s="410">
        <v>54.08</v>
      </c>
    </row>
    <row r="662" spans="1:10" s="296" customFormat="1" ht="0.95" customHeight="1" thickTop="1" x14ac:dyDescent="0.25">
      <c r="A662" s="411"/>
      <c r="B662" s="411"/>
      <c r="C662" s="411"/>
      <c r="D662" s="411"/>
      <c r="E662" s="411"/>
      <c r="F662" s="411"/>
      <c r="G662" s="411"/>
      <c r="H662" s="411"/>
      <c r="I662" s="411"/>
      <c r="J662" s="411"/>
    </row>
    <row r="663" spans="1:10" s="296" customFormat="1" ht="18" customHeight="1" x14ac:dyDescent="0.25">
      <c r="A663" s="412"/>
      <c r="B663" s="413" t="s">
        <v>67</v>
      </c>
      <c r="C663" s="412" t="s">
        <v>68</v>
      </c>
      <c r="D663" s="412" t="s">
        <v>1</v>
      </c>
      <c r="E663" s="457" t="s">
        <v>110</v>
      </c>
      <c r="F663" s="457"/>
      <c r="G663" s="414" t="s">
        <v>2</v>
      </c>
      <c r="H663" s="413" t="s">
        <v>3</v>
      </c>
      <c r="I663" s="413" t="s">
        <v>69</v>
      </c>
      <c r="J663" s="413" t="s">
        <v>45</v>
      </c>
    </row>
    <row r="664" spans="1:10" s="296" customFormat="1" ht="39" customHeight="1" x14ac:dyDescent="0.25">
      <c r="A664" s="394" t="s">
        <v>111</v>
      </c>
      <c r="B664" s="395" t="s">
        <v>628</v>
      </c>
      <c r="C664" s="394" t="s">
        <v>77</v>
      </c>
      <c r="D664" s="394" t="s">
        <v>615</v>
      </c>
      <c r="E664" s="458" t="s">
        <v>94</v>
      </c>
      <c r="F664" s="458"/>
      <c r="G664" s="396" t="s">
        <v>7</v>
      </c>
      <c r="H664" s="397">
        <v>1</v>
      </c>
      <c r="I664" s="398">
        <v>82.04</v>
      </c>
      <c r="J664" s="398">
        <v>82.04</v>
      </c>
    </row>
    <row r="665" spans="1:10" s="296" customFormat="1" ht="15" customHeight="1" x14ac:dyDescent="0.25">
      <c r="A665" s="457" t="s">
        <v>155</v>
      </c>
      <c r="B665" s="456" t="s">
        <v>67</v>
      </c>
      <c r="C665" s="457" t="s">
        <v>68</v>
      </c>
      <c r="D665" s="457" t="s">
        <v>156</v>
      </c>
      <c r="E665" s="456" t="s">
        <v>157</v>
      </c>
      <c r="F665" s="459" t="s">
        <v>158</v>
      </c>
      <c r="G665" s="456"/>
      <c r="H665" s="459" t="s">
        <v>159</v>
      </c>
      <c r="I665" s="456"/>
      <c r="J665" s="456" t="s">
        <v>160</v>
      </c>
    </row>
    <row r="666" spans="1:10" s="296" customFormat="1" ht="15" customHeight="1" x14ac:dyDescent="0.25">
      <c r="A666" s="456"/>
      <c r="B666" s="456"/>
      <c r="C666" s="456"/>
      <c r="D666" s="456"/>
      <c r="E666" s="456"/>
      <c r="F666" s="413" t="s">
        <v>161</v>
      </c>
      <c r="G666" s="413" t="s">
        <v>162</v>
      </c>
      <c r="H666" s="413" t="s">
        <v>161</v>
      </c>
      <c r="I666" s="413" t="s">
        <v>162</v>
      </c>
      <c r="J666" s="456"/>
    </row>
    <row r="667" spans="1:10" s="296" customFormat="1" ht="24" customHeight="1" x14ac:dyDescent="0.25">
      <c r="A667" s="404" t="s">
        <v>120</v>
      </c>
      <c r="B667" s="405" t="s">
        <v>629</v>
      </c>
      <c r="C667" s="404" t="s">
        <v>77</v>
      </c>
      <c r="D667" s="404" t="s">
        <v>630</v>
      </c>
      <c r="E667" s="407">
        <v>9.3719999999999998E-2</v>
      </c>
      <c r="F667" s="408">
        <v>1</v>
      </c>
      <c r="G667" s="408">
        <v>0</v>
      </c>
      <c r="H667" s="415">
        <v>16.555399999999999</v>
      </c>
      <c r="I667" s="415">
        <v>4.8280000000000003</v>
      </c>
      <c r="J667" s="415">
        <v>1.5516000000000001</v>
      </c>
    </row>
    <row r="668" spans="1:10" s="296" customFormat="1" ht="24" customHeight="1" x14ac:dyDescent="0.25">
      <c r="A668" s="404" t="s">
        <v>120</v>
      </c>
      <c r="B668" s="405" t="s">
        <v>631</v>
      </c>
      <c r="C668" s="404" t="s">
        <v>77</v>
      </c>
      <c r="D668" s="404" t="s">
        <v>632</v>
      </c>
      <c r="E668" s="407">
        <v>9.3719999999999998E-2</v>
      </c>
      <c r="F668" s="408">
        <v>1</v>
      </c>
      <c r="G668" s="408">
        <v>0</v>
      </c>
      <c r="H668" s="415">
        <v>31.3825</v>
      </c>
      <c r="I668" s="415">
        <v>31.031300000000002</v>
      </c>
      <c r="J668" s="415">
        <v>2.9411999999999998</v>
      </c>
    </row>
    <row r="669" spans="1:10" s="296" customFormat="1" ht="20.100000000000001" customHeight="1" x14ac:dyDescent="0.25">
      <c r="A669" s="454"/>
      <c r="B669" s="454"/>
      <c r="C669" s="454"/>
      <c r="D669" s="454"/>
      <c r="E669" s="454"/>
      <c r="F669" s="454" t="s">
        <v>163</v>
      </c>
      <c r="G669" s="454"/>
      <c r="H669" s="454"/>
      <c r="I669" s="454"/>
      <c r="J669" s="416">
        <v>4.4927999999999999</v>
      </c>
    </row>
    <row r="670" spans="1:10" s="296" customFormat="1" ht="20.100000000000001" customHeight="1" x14ac:dyDescent="0.25">
      <c r="A670" s="412" t="s">
        <v>164</v>
      </c>
      <c r="B670" s="413" t="s">
        <v>67</v>
      </c>
      <c r="C670" s="412" t="s">
        <v>68</v>
      </c>
      <c r="D670" s="412" t="s">
        <v>125</v>
      </c>
      <c r="E670" s="413" t="s">
        <v>157</v>
      </c>
      <c r="F670" s="456" t="s">
        <v>165</v>
      </c>
      <c r="G670" s="456"/>
      <c r="H670" s="456"/>
      <c r="I670" s="456"/>
      <c r="J670" s="413" t="s">
        <v>160</v>
      </c>
    </row>
    <row r="671" spans="1:10" s="296" customFormat="1" ht="24" customHeight="1" x14ac:dyDescent="0.25">
      <c r="A671" s="404" t="s">
        <v>120</v>
      </c>
      <c r="B671" s="405" t="s">
        <v>366</v>
      </c>
      <c r="C671" s="404" t="s">
        <v>77</v>
      </c>
      <c r="D671" s="404" t="s">
        <v>367</v>
      </c>
      <c r="E671" s="407">
        <v>0.9</v>
      </c>
      <c r="F671" s="404"/>
      <c r="G671" s="404"/>
      <c r="H671" s="404"/>
      <c r="I671" s="415">
        <v>22.445399999999999</v>
      </c>
      <c r="J671" s="415">
        <v>20.200900000000001</v>
      </c>
    </row>
    <row r="672" spans="1:10" s="296" customFormat="1" ht="20.100000000000001" customHeight="1" x14ac:dyDescent="0.25">
      <c r="A672" s="454"/>
      <c r="B672" s="454"/>
      <c r="C672" s="454"/>
      <c r="D672" s="454"/>
      <c r="E672" s="454"/>
      <c r="F672" s="454" t="s">
        <v>167</v>
      </c>
      <c r="G672" s="454"/>
      <c r="H672" s="454"/>
      <c r="I672" s="454"/>
      <c r="J672" s="416">
        <v>20.200900000000001</v>
      </c>
    </row>
    <row r="673" spans="1:10" s="296" customFormat="1" ht="20.100000000000001" customHeight="1" x14ac:dyDescent="0.25">
      <c r="A673" s="454"/>
      <c r="B673" s="454"/>
      <c r="C673" s="454"/>
      <c r="D673" s="454"/>
      <c r="E673" s="454"/>
      <c r="F673" s="454" t="s">
        <v>168</v>
      </c>
      <c r="G673" s="454"/>
      <c r="H673" s="454"/>
      <c r="I673" s="454"/>
      <c r="J673" s="416">
        <v>0</v>
      </c>
    </row>
    <row r="674" spans="1:10" s="296" customFormat="1" ht="20.100000000000001" customHeight="1" x14ac:dyDescent="0.25">
      <c r="A674" s="454"/>
      <c r="B674" s="454"/>
      <c r="C674" s="454"/>
      <c r="D674" s="454"/>
      <c r="E674" s="454"/>
      <c r="F674" s="454" t="s">
        <v>169</v>
      </c>
      <c r="G674" s="454"/>
      <c r="H674" s="454"/>
      <c r="I674" s="454"/>
      <c r="J674" s="416">
        <v>24.6937</v>
      </c>
    </row>
    <row r="675" spans="1:10" s="296" customFormat="1" ht="20.100000000000001" customHeight="1" x14ac:dyDescent="0.25">
      <c r="A675" s="454"/>
      <c r="B675" s="454"/>
      <c r="C675" s="454"/>
      <c r="D675" s="454"/>
      <c r="E675" s="454"/>
      <c r="F675" s="454" t="s">
        <v>170</v>
      </c>
      <c r="G675" s="454"/>
      <c r="H675" s="454"/>
      <c r="I675" s="454"/>
      <c r="J675" s="416">
        <v>0</v>
      </c>
    </row>
    <row r="676" spans="1:10" s="296" customFormat="1" ht="20.100000000000001" customHeight="1" x14ac:dyDescent="0.25">
      <c r="A676" s="454"/>
      <c r="B676" s="454"/>
      <c r="C676" s="454"/>
      <c r="D676" s="454"/>
      <c r="E676" s="454"/>
      <c r="F676" s="454" t="s">
        <v>171</v>
      </c>
      <c r="G676" s="454"/>
      <c r="H676" s="454"/>
      <c r="I676" s="454"/>
      <c r="J676" s="416">
        <v>0</v>
      </c>
    </row>
    <row r="677" spans="1:10" s="296" customFormat="1" ht="20.100000000000001" customHeight="1" x14ac:dyDescent="0.25">
      <c r="A677" s="454"/>
      <c r="B677" s="454"/>
      <c r="C677" s="454"/>
      <c r="D677" s="454"/>
      <c r="E677" s="454"/>
      <c r="F677" s="454" t="s">
        <v>172</v>
      </c>
      <c r="G677" s="454"/>
      <c r="H677" s="454"/>
      <c r="I677" s="454"/>
      <c r="J677" s="416">
        <v>1</v>
      </c>
    </row>
    <row r="678" spans="1:10" s="296" customFormat="1" ht="20.100000000000001" customHeight="1" x14ac:dyDescent="0.25">
      <c r="A678" s="454"/>
      <c r="B678" s="454"/>
      <c r="C678" s="454"/>
      <c r="D678" s="454"/>
      <c r="E678" s="454"/>
      <c r="F678" s="454" t="s">
        <v>173</v>
      </c>
      <c r="G678" s="454"/>
      <c r="H678" s="454"/>
      <c r="I678" s="454"/>
      <c r="J678" s="416">
        <v>24.6937</v>
      </c>
    </row>
    <row r="679" spans="1:10" s="296" customFormat="1" ht="20.100000000000001" customHeight="1" x14ac:dyDescent="0.25">
      <c r="A679" s="412" t="s">
        <v>210</v>
      </c>
      <c r="B679" s="413" t="s">
        <v>68</v>
      </c>
      <c r="C679" s="412" t="s">
        <v>67</v>
      </c>
      <c r="D679" s="412" t="s">
        <v>54</v>
      </c>
      <c r="E679" s="413" t="s">
        <v>157</v>
      </c>
      <c r="F679" s="413" t="s">
        <v>187</v>
      </c>
      <c r="G679" s="456" t="s">
        <v>188</v>
      </c>
      <c r="H679" s="456"/>
      <c r="I679" s="456"/>
      <c r="J679" s="413" t="s">
        <v>160</v>
      </c>
    </row>
    <row r="680" spans="1:10" s="296" customFormat="1" ht="24" customHeight="1" x14ac:dyDescent="0.25">
      <c r="A680" s="404" t="s">
        <v>120</v>
      </c>
      <c r="B680" s="405" t="s">
        <v>77</v>
      </c>
      <c r="C680" s="404" t="s">
        <v>633</v>
      </c>
      <c r="D680" s="404" t="s">
        <v>634</v>
      </c>
      <c r="E680" s="407">
        <v>1.8519999999999998E-2</v>
      </c>
      <c r="F680" s="406" t="s">
        <v>337</v>
      </c>
      <c r="G680" s="461">
        <v>11.4552</v>
      </c>
      <c r="H680" s="461"/>
      <c r="I680" s="460"/>
      <c r="J680" s="415">
        <v>0.2122</v>
      </c>
    </row>
    <row r="681" spans="1:10" s="296" customFormat="1" ht="24" customHeight="1" x14ac:dyDescent="0.25">
      <c r="A681" s="404" t="s">
        <v>120</v>
      </c>
      <c r="B681" s="405" t="s">
        <v>77</v>
      </c>
      <c r="C681" s="404" t="s">
        <v>635</v>
      </c>
      <c r="D681" s="404" t="s">
        <v>636</v>
      </c>
      <c r="E681" s="407">
        <v>2.3650000000000001E-2</v>
      </c>
      <c r="F681" s="406" t="s">
        <v>32</v>
      </c>
      <c r="G681" s="461">
        <v>14.3361</v>
      </c>
      <c r="H681" s="461"/>
      <c r="I681" s="460"/>
      <c r="J681" s="415">
        <v>0.33900000000000002</v>
      </c>
    </row>
    <row r="682" spans="1:10" s="296" customFormat="1" ht="24" customHeight="1" x14ac:dyDescent="0.25">
      <c r="A682" s="404" t="s">
        <v>120</v>
      </c>
      <c r="B682" s="405" t="s">
        <v>77</v>
      </c>
      <c r="C682" s="404" t="s">
        <v>637</v>
      </c>
      <c r="D682" s="404" t="s">
        <v>638</v>
      </c>
      <c r="E682" s="407">
        <v>1.21489</v>
      </c>
      <c r="F682" s="406" t="s">
        <v>11</v>
      </c>
      <c r="G682" s="461">
        <v>5.5987</v>
      </c>
      <c r="H682" s="461"/>
      <c r="I682" s="460"/>
      <c r="J682" s="415">
        <v>6.8018000000000001</v>
      </c>
    </row>
    <row r="683" spans="1:10" s="296" customFormat="1" ht="24" customHeight="1" x14ac:dyDescent="0.25">
      <c r="A683" s="404" t="s">
        <v>120</v>
      </c>
      <c r="B683" s="405" t="s">
        <v>77</v>
      </c>
      <c r="C683" s="404" t="s">
        <v>639</v>
      </c>
      <c r="D683" s="404" t="s">
        <v>640</v>
      </c>
      <c r="E683" s="407">
        <v>0.40427000000000002</v>
      </c>
      <c r="F683" s="406" t="s">
        <v>7</v>
      </c>
      <c r="G683" s="461">
        <v>56.419699999999999</v>
      </c>
      <c r="H683" s="461"/>
      <c r="I683" s="460"/>
      <c r="J683" s="415">
        <v>22.808800000000002</v>
      </c>
    </row>
    <row r="684" spans="1:10" s="296" customFormat="1" ht="20.100000000000001" customHeight="1" x14ac:dyDescent="0.25">
      <c r="A684" s="454"/>
      <c r="B684" s="454"/>
      <c r="C684" s="454"/>
      <c r="D684" s="454"/>
      <c r="E684" s="454"/>
      <c r="F684" s="454" t="s">
        <v>215</v>
      </c>
      <c r="G684" s="454"/>
      <c r="H684" s="454"/>
      <c r="I684" s="454"/>
      <c r="J684" s="416">
        <v>30.161799999999999</v>
      </c>
    </row>
    <row r="685" spans="1:10" s="296" customFormat="1" ht="20.100000000000001" customHeight="1" x14ac:dyDescent="0.25">
      <c r="A685" s="412" t="s">
        <v>185</v>
      </c>
      <c r="B685" s="413" t="s">
        <v>68</v>
      </c>
      <c r="C685" s="412" t="s">
        <v>67</v>
      </c>
      <c r="D685" s="412" t="s">
        <v>186</v>
      </c>
      <c r="E685" s="413" t="s">
        <v>157</v>
      </c>
      <c r="F685" s="413" t="s">
        <v>187</v>
      </c>
      <c r="G685" s="456" t="s">
        <v>188</v>
      </c>
      <c r="H685" s="456"/>
      <c r="I685" s="456"/>
      <c r="J685" s="413" t="s">
        <v>160</v>
      </c>
    </row>
    <row r="686" spans="1:10" s="296" customFormat="1" ht="24" customHeight="1" x14ac:dyDescent="0.25">
      <c r="A686" s="399" t="s">
        <v>189</v>
      </c>
      <c r="B686" s="400" t="s">
        <v>75</v>
      </c>
      <c r="C686" s="399">
        <v>88262</v>
      </c>
      <c r="D686" s="399" t="s">
        <v>118</v>
      </c>
      <c r="E686" s="402">
        <v>0.9</v>
      </c>
      <c r="F686" s="401" t="s">
        <v>119</v>
      </c>
      <c r="G686" s="462">
        <v>30.2</v>
      </c>
      <c r="H686" s="462"/>
      <c r="I686" s="463"/>
      <c r="J686" s="417">
        <v>27.18</v>
      </c>
    </row>
    <row r="687" spans="1:10" s="296" customFormat="1" ht="20.100000000000001" customHeight="1" x14ac:dyDescent="0.25">
      <c r="A687" s="454"/>
      <c r="B687" s="454"/>
      <c r="C687" s="454"/>
      <c r="D687" s="454"/>
      <c r="E687" s="454"/>
      <c r="F687" s="454" t="s">
        <v>191</v>
      </c>
      <c r="G687" s="454"/>
      <c r="H687" s="454"/>
      <c r="I687" s="454"/>
      <c r="J687" s="416">
        <v>27.18</v>
      </c>
    </row>
    <row r="688" spans="1:10" s="296" customFormat="1" ht="15" x14ac:dyDescent="0.25">
      <c r="A688" s="409"/>
      <c r="B688" s="409"/>
      <c r="C688" s="409"/>
      <c r="D688" s="409"/>
      <c r="E688" s="409"/>
      <c r="F688" s="410"/>
      <c r="G688" s="409"/>
      <c r="H688" s="410"/>
      <c r="I688" s="409"/>
      <c r="J688" s="410"/>
    </row>
    <row r="689" spans="1:10" s="296" customFormat="1" ht="15.75" thickBot="1" x14ac:dyDescent="0.3">
      <c r="A689" s="409"/>
      <c r="B689" s="409"/>
      <c r="C689" s="409"/>
      <c r="D689" s="409"/>
      <c r="E689" s="409" t="s">
        <v>116</v>
      </c>
      <c r="F689" s="410">
        <v>19.18</v>
      </c>
      <c r="G689" s="409"/>
      <c r="H689" s="455" t="s">
        <v>117</v>
      </c>
      <c r="I689" s="455"/>
      <c r="J689" s="410">
        <v>101.22</v>
      </c>
    </row>
    <row r="690" spans="1:10" s="296" customFormat="1" ht="0.95" customHeight="1" thickTop="1" x14ac:dyDescent="0.25">
      <c r="A690" s="411"/>
      <c r="B690" s="411"/>
      <c r="C690" s="411"/>
      <c r="D690" s="411"/>
      <c r="E690" s="411"/>
      <c r="F690" s="411"/>
      <c r="G690" s="411"/>
      <c r="H690" s="411"/>
      <c r="I690" s="411"/>
      <c r="J690" s="411"/>
    </row>
    <row r="691" spans="1:10" s="296" customFormat="1" ht="18" customHeight="1" x14ac:dyDescent="0.25">
      <c r="A691" s="412"/>
      <c r="B691" s="413" t="s">
        <v>67</v>
      </c>
      <c r="C691" s="412" t="s">
        <v>68</v>
      </c>
      <c r="D691" s="412" t="s">
        <v>1</v>
      </c>
      <c r="E691" s="457" t="s">
        <v>110</v>
      </c>
      <c r="F691" s="457"/>
      <c r="G691" s="414" t="s">
        <v>2</v>
      </c>
      <c r="H691" s="413" t="s">
        <v>3</v>
      </c>
      <c r="I691" s="413" t="s">
        <v>69</v>
      </c>
      <c r="J691" s="413" t="s">
        <v>45</v>
      </c>
    </row>
    <row r="692" spans="1:10" s="296" customFormat="1" ht="26.1" customHeight="1" x14ac:dyDescent="0.25">
      <c r="A692" s="394" t="s">
        <v>111</v>
      </c>
      <c r="B692" s="395" t="s">
        <v>544</v>
      </c>
      <c r="C692" s="394" t="s">
        <v>545</v>
      </c>
      <c r="D692" s="394" t="s">
        <v>546</v>
      </c>
      <c r="E692" s="458" t="s">
        <v>547</v>
      </c>
      <c r="F692" s="458"/>
      <c r="G692" s="396" t="s">
        <v>19</v>
      </c>
      <c r="H692" s="397">
        <v>1</v>
      </c>
      <c r="I692" s="398">
        <v>167.25</v>
      </c>
      <c r="J692" s="398">
        <v>167.25</v>
      </c>
    </row>
    <row r="693" spans="1:10" s="296" customFormat="1" ht="39" customHeight="1" x14ac:dyDescent="0.25">
      <c r="A693" s="399" t="s">
        <v>113</v>
      </c>
      <c r="B693" s="400" t="s">
        <v>556</v>
      </c>
      <c r="C693" s="399" t="s">
        <v>75</v>
      </c>
      <c r="D693" s="399" t="s">
        <v>557</v>
      </c>
      <c r="E693" s="463" t="s">
        <v>558</v>
      </c>
      <c r="F693" s="463"/>
      <c r="G693" s="401" t="s">
        <v>7</v>
      </c>
      <c r="H693" s="402">
        <v>0.44</v>
      </c>
      <c r="I693" s="403">
        <v>46.07</v>
      </c>
      <c r="J693" s="403">
        <v>20.27</v>
      </c>
    </row>
    <row r="694" spans="1:10" s="296" customFormat="1" ht="39" customHeight="1" x14ac:dyDescent="0.25">
      <c r="A694" s="399" t="s">
        <v>113</v>
      </c>
      <c r="B694" s="400" t="s">
        <v>549</v>
      </c>
      <c r="C694" s="399" t="s">
        <v>75</v>
      </c>
      <c r="D694" s="399" t="s">
        <v>550</v>
      </c>
      <c r="E694" s="463" t="s">
        <v>112</v>
      </c>
      <c r="F694" s="463"/>
      <c r="G694" s="401" t="s">
        <v>14</v>
      </c>
      <c r="H694" s="402">
        <v>3.09E-2</v>
      </c>
      <c r="I694" s="403">
        <v>545.39</v>
      </c>
      <c r="J694" s="403">
        <v>16.850000000000001</v>
      </c>
    </row>
    <row r="695" spans="1:10" s="296" customFormat="1" ht="24" customHeight="1" x14ac:dyDescent="0.25">
      <c r="A695" s="404" t="s">
        <v>120</v>
      </c>
      <c r="B695" s="405" t="s">
        <v>533</v>
      </c>
      <c r="C695" s="404" t="s">
        <v>77</v>
      </c>
      <c r="D695" s="404" t="s">
        <v>356</v>
      </c>
      <c r="E695" s="460" t="s">
        <v>125</v>
      </c>
      <c r="F695" s="460"/>
      <c r="G695" s="406" t="s">
        <v>126</v>
      </c>
      <c r="H695" s="407">
        <v>1</v>
      </c>
      <c r="I695" s="408">
        <v>30.410299999999999</v>
      </c>
      <c r="J695" s="408">
        <v>30.41</v>
      </c>
    </row>
    <row r="696" spans="1:10" s="296" customFormat="1" ht="24" customHeight="1" x14ac:dyDescent="0.25">
      <c r="A696" s="404" t="s">
        <v>120</v>
      </c>
      <c r="B696" s="405" t="s">
        <v>123</v>
      </c>
      <c r="C696" s="404" t="s">
        <v>77</v>
      </c>
      <c r="D696" s="404" t="s">
        <v>124</v>
      </c>
      <c r="E696" s="460" t="s">
        <v>125</v>
      </c>
      <c r="F696" s="460"/>
      <c r="G696" s="406" t="s">
        <v>126</v>
      </c>
      <c r="H696" s="407">
        <v>2.3820000000000001</v>
      </c>
      <c r="I696" s="408">
        <v>21.6083</v>
      </c>
      <c r="J696" s="408">
        <v>51.47</v>
      </c>
    </row>
    <row r="697" spans="1:10" s="296" customFormat="1" ht="26.1" customHeight="1" x14ac:dyDescent="0.25">
      <c r="A697" s="404" t="s">
        <v>120</v>
      </c>
      <c r="B697" s="405" t="s">
        <v>559</v>
      </c>
      <c r="C697" s="404" t="s">
        <v>75</v>
      </c>
      <c r="D697" s="404" t="s">
        <v>560</v>
      </c>
      <c r="E697" s="460" t="s">
        <v>54</v>
      </c>
      <c r="F697" s="460"/>
      <c r="G697" s="406" t="s">
        <v>19</v>
      </c>
      <c r="H697" s="407">
        <v>84.665999999999997</v>
      </c>
      <c r="I697" s="408">
        <v>0.56999999999999995</v>
      </c>
      <c r="J697" s="408">
        <v>48.25</v>
      </c>
    </row>
    <row r="698" spans="1:10" s="296" customFormat="1" ht="15" x14ac:dyDescent="0.25">
      <c r="A698" s="409"/>
      <c r="B698" s="409"/>
      <c r="C698" s="409"/>
      <c r="D698" s="409"/>
      <c r="E698" s="409"/>
      <c r="F698" s="410"/>
      <c r="G698" s="409"/>
      <c r="H698" s="410"/>
      <c r="I698" s="409"/>
      <c r="J698" s="410"/>
    </row>
    <row r="699" spans="1:10" s="296" customFormat="1" ht="15.75" thickBot="1" x14ac:dyDescent="0.3">
      <c r="A699" s="409"/>
      <c r="B699" s="409"/>
      <c r="C699" s="409"/>
      <c r="D699" s="409"/>
      <c r="E699" s="409" t="s">
        <v>116</v>
      </c>
      <c r="F699" s="410">
        <v>39.11</v>
      </c>
      <c r="G699" s="409"/>
      <c r="H699" s="455" t="s">
        <v>117</v>
      </c>
      <c r="I699" s="455"/>
      <c r="J699" s="410">
        <v>206.36</v>
      </c>
    </row>
    <row r="700" spans="1:10" s="296" customFormat="1" ht="0.95" customHeight="1" thickTop="1" thickBot="1" x14ac:dyDescent="0.3">
      <c r="A700" s="411"/>
      <c r="B700" s="411"/>
      <c r="C700" s="411"/>
      <c r="D700" s="411"/>
      <c r="E700" s="411"/>
      <c r="F700" s="411"/>
      <c r="G700" s="411"/>
      <c r="H700" s="411"/>
      <c r="I700" s="411"/>
      <c r="J700" s="411"/>
    </row>
    <row r="701" spans="1:10" s="296" customFormat="1" ht="0.95" customHeight="1" thickTop="1" x14ac:dyDescent="0.25">
      <c r="A701" s="411"/>
      <c r="B701" s="411"/>
      <c r="C701" s="411"/>
      <c r="D701" s="411"/>
      <c r="E701" s="411"/>
      <c r="F701" s="411"/>
      <c r="G701" s="411"/>
      <c r="H701" s="411"/>
      <c r="I701" s="411"/>
      <c r="J701" s="411"/>
    </row>
    <row r="702" spans="1:10" s="296" customFormat="1" ht="18" customHeight="1" x14ac:dyDescent="0.25">
      <c r="A702" s="412"/>
      <c r="B702" s="413" t="s">
        <v>67</v>
      </c>
      <c r="C702" s="412" t="s">
        <v>68</v>
      </c>
      <c r="D702" s="412" t="s">
        <v>1</v>
      </c>
      <c r="E702" s="457" t="s">
        <v>110</v>
      </c>
      <c r="F702" s="457"/>
      <c r="G702" s="414" t="s">
        <v>2</v>
      </c>
      <c r="H702" s="413" t="s">
        <v>3</v>
      </c>
      <c r="I702" s="413" t="s">
        <v>69</v>
      </c>
      <c r="J702" s="413" t="s">
        <v>45</v>
      </c>
    </row>
    <row r="703" spans="1:10" s="296" customFormat="1" ht="39" customHeight="1" x14ac:dyDescent="0.25">
      <c r="A703" s="394" t="s">
        <v>111</v>
      </c>
      <c r="B703" s="395" t="s">
        <v>556</v>
      </c>
      <c r="C703" s="394" t="s">
        <v>75</v>
      </c>
      <c r="D703" s="394" t="s">
        <v>557</v>
      </c>
      <c r="E703" s="458" t="s">
        <v>558</v>
      </c>
      <c r="F703" s="458"/>
      <c r="G703" s="396" t="s">
        <v>7</v>
      </c>
      <c r="H703" s="397">
        <v>1</v>
      </c>
      <c r="I703" s="398">
        <v>46.07</v>
      </c>
      <c r="J703" s="398">
        <v>46.07</v>
      </c>
    </row>
    <row r="704" spans="1:10" s="296" customFormat="1" ht="39" customHeight="1" x14ac:dyDescent="0.25">
      <c r="A704" s="399" t="s">
        <v>113</v>
      </c>
      <c r="B704" s="400" t="s">
        <v>549</v>
      </c>
      <c r="C704" s="399" t="s">
        <v>75</v>
      </c>
      <c r="D704" s="399" t="s">
        <v>550</v>
      </c>
      <c r="E704" s="463" t="s">
        <v>112</v>
      </c>
      <c r="F704" s="463"/>
      <c r="G704" s="401" t="s">
        <v>14</v>
      </c>
      <c r="H704" s="402">
        <v>2.5000000000000001E-2</v>
      </c>
      <c r="I704" s="403">
        <v>545.39</v>
      </c>
      <c r="J704" s="403">
        <v>13.63</v>
      </c>
    </row>
    <row r="705" spans="1:10" s="296" customFormat="1" ht="26.1" customHeight="1" x14ac:dyDescent="0.25">
      <c r="A705" s="404" t="s">
        <v>120</v>
      </c>
      <c r="B705" s="405" t="s">
        <v>561</v>
      </c>
      <c r="C705" s="404" t="s">
        <v>75</v>
      </c>
      <c r="D705" s="404" t="s">
        <v>562</v>
      </c>
      <c r="E705" s="460" t="s">
        <v>54</v>
      </c>
      <c r="F705" s="460"/>
      <c r="G705" s="406" t="s">
        <v>7</v>
      </c>
      <c r="H705" s="407">
        <v>1.05</v>
      </c>
      <c r="I705" s="408">
        <v>13.59</v>
      </c>
      <c r="J705" s="408">
        <v>14.26</v>
      </c>
    </row>
    <row r="706" spans="1:10" s="296" customFormat="1" ht="24" customHeight="1" x14ac:dyDescent="0.25">
      <c r="A706" s="404" t="s">
        <v>120</v>
      </c>
      <c r="B706" s="405" t="s">
        <v>533</v>
      </c>
      <c r="C706" s="404" t="s">
        <v>77</v>
      </c>
      <c r="D706" s="404" t="s">
        <v>356</v>
      </c>
      <c r="E706" s="460" t="s">
        <v>125</v>
      </c>
      <c r="F706" s="460"/>
      <c r="G706" s="406" t="s">
        <v>126</v>
      </c>
      <c r="H706" s="407">
        <v>0.51539999999999997</v>
      </c>
      <c r="I706" s="408">
        <v>30.410299999999999</v>
      </c>
      <c r="J706" s="408">
        <v>15.67</v>
      </c>
    </row>
    <row r="707" spans="1:10" s="296" customFormat="1" ht="24" customHeight="1" x14ac:dyDescent="0.25">
      <c r="A707" s="404" t="s">
        <v>120</v>
      </c>
      <c r="B707" s="405" t="s">
        <v>123</v>
      </c>
      <c r="C707" s="404" t="s">
        <v>77</v>
      </c>
      <c r="D707" s="404" t="s">
        <v>124</v>
      </c>
      <c r="E707" s="460" t="s">
        <v>125</v>
      </c>
      <c r="F707" s="460"/>
      <c r="G707" s="406" t="s">
        <v>126</v>
      </c>
      <c r="H707" s="407">
        <v>0.1162</v>
      </c>
      <c r="I707" s="408">
        <v>21.6083</v>
      </c>
      <c r="J707" s="408">
        <v>2.5099999999999998</v>
      </c>
    </row>
    <row r="708" spans="1:10" s="296" customFormat="1" ht="15" x14ac:dyDescent="0.25">
      <c r="A708" s="409"/>
      <c r="B708" s="409"/>
      <c r="C708" s="409"/>
      <c r="D708" s="409"/>
      <c r="E708" s="409"/>
      <c r="F708" s="410"/>
      <c r="G708" s="409"/>
      <c r="H708" s="410"/>
      <c r="I708" s="409"/>
      <c r="J708" s="410"/>
    </row>
    <row r="709" spans="1:10" s="296" customFormat="1" ht="15.75" thickBot="1" x14ac:dyDescent="0.3">
      <c r="A709" s="409"/>
      <c r="B709" s="409"/>
      <c r="C709" s="409"/>
      <c r="D709" s="409"/>
      <c r="E709" s="409" t="s">
        <v>116</v>
      </c>
      <c r="F709" s="410">
        <v>10.77</v>
      </c>
      <c r="G709" s="409"/>
      <c r="H709" s="455" t="s">
        <v>117</v>
      </c>
      <c r="I709" s="455"/>
      <c r="J709" s="410">
        <v>56.84</v>
      </c>
    </row>
    <row r="710" spans="1:10" s="296" customFormat="1" ht="0.95" customHeight="1" thickTop="1" x14ac:dyDescent="0.25">
      <c r="A710" s="411"/>
      <c r="B710" s="411"/>
      <c r="C710" s="411"/>
      <c r="D710" s="411"/>
      <c r="E710" s="411"/>
      <c r="F710" s="411"/>
      <c r="G710" s="411"/>
      <c r="H710" s="411"/>
      <c r="I710" s="411"/>
      <c r="J710" s="411"/>
    </row>
    <row r="711" spans="1:10" s="296" customFormat="1" ht="18" customHeight="1" x14ac:dyDescent="0.25">
      <c r="A711" s="412"/>
      <c r="B711" s="413" t="s">
        <v>67</v>
      </c>
      <c r="C711" s="412" t="s">
        <v>68</v>
      </c>
      <c r="D711" s="412" t="s">
        <v>1</v>
      </c>
      <c r="E711" s="457" t="s">
        <v>110</v>
      </c>
      <c r="F711" s="457"/>
      <c r="G711" s="414" t="s">
        <v>2</v>
      </c>
      <c r="H711" s="413" t="s">
        <v>3</v>
      </c>
      <c r="I711" s="413" t="s">
        <v>69</v>
      </c>
      <c r="J711" s="413" t="s">
        <v>45</v>
      </c>
    </row>
    <row r="712" spans="1:10" s="296" customFormat="1" ht="26.1" customHeight="1" x14ac:dyDescent="0.25">
      <c r="A712" s="394" t="s">
        <v>111</v>
      </c>
      <c r="B712" s="395" t="s">
        <v>368</v>
      </c>
      <c r="C712" s="394" t="s">
        <v>77</v>
      </c>
      <c r="D712" s="394" t="s">
        <v>369</v>
      </c>
      <c r="E712" s="458" t="s">
        <v>94</v>
      </c>
      <c r="F712" s="458"/>
      <c r="G712" s="396" t="s">
        <v>7</v>
      </c>
      <c r="H712" s="397">
        <v>1</v>
      </c>
      <c r="I712" s="398">
        <v>16.73</v>
      </c>
      <c r="J712" s="398">
        <v>16.73</v>
      </c>
    </row>
    <row r="713" spans="1:10" s="296" customFormat="1" ht="15" customHeight="1" x14ac:dyDescent="0.25">
      <c r="A713" s="457" t="s">
        <v>155</v>
      </c>
      <c r="B713" s="456" t="s">
        <v>67</v>
      </c>
      <c r="C713" s="457" t="s">
        <v>68</v>
      </c>
      <c r="D713" s="457" t="s">
        <v>156</v>
      </c>
      <c r="E713" s="456" t="s">
        <v>157</v>
      </c>
      <c r="F713" s="459" t="s">
        <v>158</v>
      </c>
      <c r="G713" s="456"/>
      <c r="H713" s="459" t="s">
        <v>159</v>
      </c>
      <c r="I713" s="456"/>
      <c r="J713" s="456" t="s">
        <v>160</v>
      </c>
    </row>
    <row r="714" spans="1:10" s="296" customFormat="1" ht="15" customHeight="1" x14ac:dyDescent="0.25">
      <c r="A714" s="456"/>
      <c r="B714" s="456"/>
      <c r="C714" s="456"/>
      <c r="D714" s="456"/>
      <c r="E714" s="456"/>
      <c r="F714" s="413" t="s">
        <v>161</v>
      </c>
      <c r="G714" s="413" t="s">
        <v>162</v>
      </c>
      <c r="H714" s="413" t="s">
        <v>161</v>
      </c>
      <c r="I714" s="413" t="s">
        <v>162</v>
      </c>
      <c r="J714" s="456"/>
    </row>
    <row r="715" spans="1:10" s="296" customFormat="1" ht="31.5" customHeight="1" x14ac:dyDescent="0.25">
      <c r="A715" s="404" t="s">
        <v>120</v>
      </c>
      <c r="B715" s="405" t="s">
        <v>370</v>
      </c>
      <c r="C715" s="404" t="s">
        <v>77</v>
      </c>
      <c r="D715" s="404" t="s">
        <v>371</v>
      </c>
      <c r="E715" s="407">
        <v>1</v>
      </c>
      <c r="F715" s="408">
        <v>1</v>
      </c>
      <c r="G715" s="408">
        <v>0</v>
      </c>
      <c r="H715" s="415">
        <v>49.493099999999998</v>
      </c>
      <c r="I715" s="415">
        <v>43.656300000000002</v>
      </c>
      <c r="J715" s="415">
        <v>49.493099999999998</v>
      </c>
    </row>
    <row r="716" spans="1:10" s="296" customFormat="1" ht="24" customHeight="1" x14ac:dyDescent="0.25">
      <c r="A716" s="404" t="s">
        <v>120</v>
      </c>
      <c r="B716" s="405" t="s">
        <v>563</v>
      </c>
      <c r="C716" s="404" t="s">
        <v>77</v>
      </c>
      <c r="D716" s="404" t="s">
        <v>564</v>
      </c>
      <c r="E716" s="407">
        <v>1</v>
      </c>
      <c r="F716" s="408">
        <v>1</v>
      </c>
      <c r="G716" s="408">
        <v>0</v>
      </c>
      <c r="H716" s="415">
        <v>23.360800000000001</v>
      </c>
      <c r="I716" s="415">
        <v>5.4595000000000002</v>
      </c>
      <c r="J716" s="415">
        <v>23.360800000000001</v>
      </c>
    </row>
    <row r="717" spans="1:10" s="296" customFormat="1" ht="20.100000000000001" customHeight="1" x14ac:dyDescent="0.25">
      <c r="A717" s="454"/>
      <c r="B717" s="454"/>
      <c r="C717" s="454"/>
      <c r="D717" s="454"/>
      <c r="E717" s="454"/>
      <c r="F717" s="454" t="s">
        <v>163</v>
      </c>
      <c r="G717" s="454"/>
      <c r="H717" s="454"/>
      <c r="I717" s="454"/>
      <c r="J717" s="416">
        <v>72.853899999999996</v>
      </c>
    </row>
    <row r="718" spans="1:10" s="296" customFormat="1" ht="20.100000000000001" customHeight="1" x14ac:dyDescent="0.25">
      <c r="A718" s="412" t="s">
        <v>164</v>
      </c>
      <c r="B718" s="413" t="s">
        <v>67</v>
      </c>
      <c r="C718" s="412" t="s">
        <v>68</v>
      </c>
      <c r="D718" s="412" t="s">
        <v>125</v>
      </c>
      <c r="E718" s="413" t="s">
        <v>157</v>
      </c>
      <c r="F718" s="456" t="s">
        <v>165</v>
      </c>
      <c r="G718" s="456"/>
      <c r="H718" s="456"/>
      <c r="I718" s="456"/>
      <c r="J718" s="413" t="s">
        <v>160</v>
      </c>
    </row>
    <row r="719" spans="1:10" s="296" customFormat="1" ht="24" customHeight="1" x14ac:dyDescent="0.25">
      <c r="A719" s="404" t="s">
        <v>120</v>
      </c>
      <c r="B719" s="405" t="s">
        <v>366</v>
      </c>
      <c r="C719" s="404" t="s">
        <v>77</v>
      </c>
      <c r="D719" s="404" t="s">
        <v>367</v>
      </c>
      <c r="E719" s="407">
        <v>1</v>
      </c>
      <c r="F719" s="404"/>
      <c r="G719" s="404"/>
      <c r="H719" s="404"/>
      <c r="I719" s="415">
        <v>22.445399999999999</v>
      </c>
      <c r="J719" s="415">
        <v>22.445399999999999</v>
      </c>
    </row>
    <row r="720" spans="1:10" s="296" customFormat="1" ht="24" customHeight="1" x14ac:dyDescent="0.25">
      <c r="A720" s="404" t="s">
        <v>120</v>
      </c>
      <c r="B720" s="405" t="s">
        <v>372</v>
      </c>
      <c r="C720" s="404" t="s">
        <v>77</v>
      </c>
      <c r="D720" s="404" t="s">
        <v>373</v>
      </c>
      <c r="E720" s="407">
        <v>2</v>
      </c>
      <c r="F720" s="404"/>
      <c r="G720" s="404"/>
      <c r="H720" s="404"/>
      <c r="I720" s="415">
        <v>30.560400000000001</v>
      </c>
      <c r="J720" s="415">
        <v>61.120800000000003</v>
      </c>
    </row>
    <row r="721" spans="1:10" s="296" customFormat="1" ht="20.100000000000001" customHeight="1" x14ac:dyDescent="0.25">
      <c r="A721" s="454"/>
      <c r="B721" s="454"/>
      <c r="C721" s="454"/>
      <c r="D721" s="454"/>
      <c r="E721" s="454"/>
      <c r="F721" s="454" t="s">
        <v>167</v>
      </c>
      <c r="G721" s="454"/>
      <c r="H721" s="454"/>
      <c r="I721" s="454"/>
      <c r="J721" s="416">
        <v>83.566199999999995</v>
      </c>
    </row>
    <row r="722" spans="1:10" s="296" customFormat="1" ht="20.100000000000001" customHeight="1" x14ac:dyDescent="0.25">
      <c r="A722" s="454"/>
      <c r="B722" s="454"/>
      <c r="C722" s="454"/>
      <c r="D722" s="454"/>
      <c r="E722" s="454"/>
      <c r="F722" s="454" t="s">
        <v>168</v>
      </c>
      <c r="G722" s="454"/>
      <c r="H722" s="454"/>
      <c r="I722" s="454"/>
      <c r="J722" s="416">
        <v>0</v>
      </c>
    </row>
    <row r="723" spans="1:10" s="296" customFormat="1" ht="20.100000000000001" customHeight="1" x14ac:dyDescent="0.25">
      <c r="A723" s="454"/>
      <c r="B723" s="454"/>
      <c r="C723" s="454"/>
      <c r="D723" s="454"/>
      <c r="E723" s="454"/>
      <c r="F723" s="454" t="s">
        <v>169</v>
      </c>
      <c r="G723" s="454"/>
      <c r="H723" s="454"/>
      <c r="I723" s="454"/>
      <c r="J723" s="416">
        <v>156.42009999999999</v>
      </c>
    </row>
    <row r="724" spans="1:10" s="296" customFormat="1" ht="20.100000000000001" customHeight="1" x14ac:dyDescent="0.25">
      <c r="A724" s="454"/>
      <c r="B724" s="454"/>
      <c r="C724" s="454"/>
      <c r="D724" s="454"/>
      <c r="E724" s="454"/>
      <c r="F724" s="454" t="s">
        <v>170</v>
      </c>
      <c r="G724" s="454"/>
      <c r="H724" s="454"/>
      <c r="I724" s="454"/>
      <c r="J724" s="416">
        <v>0</v>
      </c>
    </row>
    <row r="725" spans="1:10" s="296" customFormat="1" ht="20.100000000000001" customHeight="1" x14ac:dyDescent="0.25">
      <c r="A725" s="454"/>
      <c r="B725" s="454"/>
      <c r="C725" s="454"/>
      <c r="D725" s="454"/>
      <c r="E725" s="454"/>
      <c r="F725" s="454" t="s">
        <v>171</v>
      </c>
      <c r="G725" s="454"/>
      <c r="H725" s="454"/>
      <c r="I725" s="454"/>
      <c r="J725" s="416">
        <v>0</v>
      </c>
    </row>
    <row r="726" spans="1:10" s="296" customFormat="1" ht="20.100000000000001" customHeight="1" x14ac:dyDescent="0.25">
      <c r="A726" s="454"/>
      <c r="B726" s="454"/>
      <c r="C726" s="454"/>
      <c r="D726" s="454"/>
      <c r="E726" s="454"/>
      <c r="F726" s="454" t="s">
        <v>172</v>
      </c>
      <c r="G726" s="454"/>
      <c r="H726" s="454"/>
      <c r="I726" s="454"/>
      <c r="J726" s="416">
        <v>19.149999999999999</v>
      </c>
    </row>
    <row r="727" spans="1:10" s="296" customFormat="1" ht="20.100000000000001" customHeight="1" x14ac:dyDescent="0.25">
      <c r="A727" s="454"/>
      <c r="B727" s="454"/>
      <c r="C727" s="454"/>
      <c r="D727" s="454"/>
      <c r="E727" s="454"/>
      <c r="F727" s="454" t="s">
        <v>173</v>
      </c>
      <c r="G727" s="454"/>
      <c r="H727" s="454"/>
      <c r="I727" s="454"/>
      <c r="J727" s="416">
        <v>8.1682000000000006</v>
      </c>
    </row>
    <row r="728" spans="1:10" s="296" customFormat="1" ht="20.100000000000001" customHeight="1" x14ac:dyDescent="0.25">
      <c r="A728" s="412" t="s">
        <v>210</v>
      </c>
      <c r="B728" s="413" t="s">
        <v>68</v>
      </c>
      <c r="C728" s="412" t="s">
        <v>67</v>
      </c>
      <c r="D728" s="412" t="s">
        <v>54</v>
      </c>
      <c r="E728" s="413" t="s">
        <v>157</v>
      </c>
      <c r="F728" s="413" t="s">
        <v>187</v>
      </c>
      <c r="G728" s="456" t="s">
        <v>188</v>
      </c>
      <c r="H728" s="456"/>
      <c r="I728" s="456"/>
      <c r="J728" s="413" t="s">
        <v>160</v>
      </c>
    </row>
    <row r="729" spans="1:10" s="296" customFormat="1" ht="24" customHeight="1" x14ac:dyDescent="0.25">
      <c r="A729" s="404" t="s">
        <v>120</v>
      </c>
      <c r="B729" s="405" t="s">
        <v>77</v>
      </c>
      <c r="C729" s="404" t="s">
        <v>374</v>
      </c>
      <c r="D729" s="404" t="s">
        <v>375</v>
      </c>
      <c r="E729" s="407">
        <v>0.112</v>
      </c>
      <c r="F729" s="406" t="s">
        <v>32</v>
      </c>
      <c r="G729" s="461">
        <v>76.414400000000001</v>
      </c>
      <c r="H729" s="461"/>
      <c r="I729" s="460"/>
      <c r="J729" s="415">
        <v>8.5584000000000007</v>
      </c>
    </row>
    <row r="730" spans="1:10" s="296" customFormat="1" ht="20.100000000000001" customHeight="1" x14ac:dyDescent="0.25">
      <c r="A730" s="454"/>
      <c r="B730" s="454"/>
      <c r="C730" s="454"/>
      <c r="D730" s="454"/>
      <c r="E730" s="454"/>
      <c r="F730" s="454" t="s">
        <v>215</v>
      </c>
      <c r="G730" s="454"/>
      <c r="H730" s="454"/>
      <c r="I730" s="454"/>
      <c r="J730" s="416">
        <v>8.5584000000000007</v>
      </c>
    </row>
    <row r="731" spans="1:10" s="296" customFormat="1" ht="15" x14ac:dyDescent="0.25">
      <c r="A731" s="409"/>
      <c r="B731" s="409"/>
      <c r="C731" s="409"/>
      <c r="D731" s="409"/>
      <c r="E731" s="409"/>
      <c r="F731" s="410"/>
      <c r="G731" s="409"/>
      <c r="H731" s="410"/>
      <c r="I731" s="409"/>
      <c r="J731" s="410"/>
    </row>
    <row r="732" spans="1:10" s="296" customFormat="1" ht="15.75" thickBot="1" x14ac:dyDescent="0.3">
      <c r="A732" s="409"/>
      <c r="B732" s="409"/>
      <c r="C732" s="409"/>
      <c r="D732" s="409"/>
      <c r="E732" s="409" t="s">
        <v>116</v>
      </c>
      <c r="F732" s="410">
        <v>3.91</v>
      </c>
      <c r="G732" s="409"/>
      <c r="H732" s="455" t="s">
        <v>117</v>
      </c>
      <c r="I732" s="455"/>
      <c r="J732" s="410">
        <v>20.64</v>
      </c>
    </row>
    <row r="733" spans="1:10" s="296" customFormat="1" ht="0.95" customHeight="1" thickTop="1" x14ac:dyDescent="0.25">
      <c r="A733" s="411"/>
      <c r="B733" s="411"/>
      <c r="C733" s="411"/>
      <c r="D733" s="411"/>
      <c r="E733" s="411"/>
      <c r="F733" s="411"/>
      <c r="G733" s="411"/>
      <c r="H733" s="411"/>
      <c r="I733" s="411"/>
      <c r="J733" s="411"/>
    </row>
    <row r="734" spans="1:10" s="296" customFormat="1" ht="18" customHeight="1" x14ac:dyDescent="0.25">
      <c r="A734" s="412"/>
      <c r="B734" s="413" t="s">
        <v>67</v>
      </c>
      <c r="C734" s="412" t="s">
        <v>68</v>
      </c>
      <c r="D734" s="412" t="s">
        <v>1</v>
      </c>
      <c r="E734" s="457" t="s">
        <v>110</v>
      </c>
      <c r="F734" s="457"/>
      <c r="G734" s="414" t="s">
        <v>2</v>
      </c>
      <c r="H734" s="413" t="s">
        <v>3</v>
      </c>
      <c r="I734" s="413" t="s">
        <v>69</v>
      </c>
      <c r="J734" s="413" t="s">
        <v>45</v>
      </c>
    </row>
    <row r="735" spans="1:10" s="296" customFormat="1" ht="26.1" customHeight="1" x14ac:dyDescent="0.25">
      <c r="A735" s="394" t="s">
        <v>111</v>
      </c>
      <c r="B735" s="395" t="s">
        <v>376</v>
      </c>
      <c r="C735" s="394" t="s">
        <v>77</v>
      </c>
      <c r="D735" s="394" t="s">
        <v>320</v>
      </c>
      <c r="E735" s="458" t="s">
        <v>94</v>
      </c>
      <c r="F735" s="458"/>
      <c r="G735" s="396" t="s">
        <v>7</v>
      </c>
      <c r="H735" s="397">
        <v>1</v>
      </c>
      <c r="I735" s="398">
        <f>J735</f>
        <v>555.20000000000005</v>
      </c>
      <c r="J735" s="398">
        <f>TRUNC(J754+J758+J761,2)</f>
        <v>555.20000000000005</v>
      </c>
    </row>
    <row r="736" spans="1:10" s="296" customFormat="1" ht="15" customHeight="1" x14ac:dyDescent="0.25">
      <c r="A736" s="457" t="s">
        <v>155</v>
      </c>
      <c r="B736" s="456" t="s">
        <v>67</v>
      </c>
      <c r="C736" s="457" t="s">
        <v>68</v>
      </c>
      <c r="D736" s="457" t="s">
        <v>156</v>
      </c>
      <c r="E736" s="456" t="s">
        <v>157</v>
      </c>
      <c r="F736" s="459" t="s">
        <v>158</v>
      </c>
      <c r="G736" s="456"/>
      <c r="H736" s="459" t="s">
        <v>159</v>
      </c>
      <c r="I736" s="456"/>
      <c r="J736" s="456" t="s">
        <v>160</v>
      </c>
    </row>
    <row r="737" spans="1:10" s="296" customFormat="1" ht="15" customHeight="1" x14ac:dyDescent="0.25">
      <c r="A737" s="456"/>
      <c r="B737" s="456"/>
      <c r="C737" s="456"/>
      <c r="D737" s="456"/>
      <c r="E737" s="456"/>
      <c r="F737" s="413" t="s">
        <v>161</v>
      </c>
      <c r="G737" s="413" t="s">
        <v>162</v>
      </c>
      <c r="H737" s="413" t="s">
        <v>161</v>
      </c>
      <c r="I737" s="413" t="s">
        <v>162</v>
      </c>
      <c r="J737" s="456"/>
    </row>
    <row r="738" spans="1:10" s="296" customFormat="1" ht="24" customHeight="1" x14ac:dyDescent="0.25">
      <c r="A738" s="404" t="s">
        <v>120</v>
      </c>
      <c r="B738" s="405" t="s">
        <v>377</v>
      </c>
      <c r="C738" s="404" t="s">
        <v>77</v>
      </c>
      <c r="D738" s="404" t="s">
        <v>378</v>
      </c>
      <c r="E738" s="407">
        <v>0.15060000000000001</v>
      </c>
      <c r="F738" s="408">
        <v>1</v>
      </c>
      <c r="G738" s="408">
        <v>0</v>
      </c>
      <c r="H738" s="415">
        <v>0.20530000000000001</v>
      </c>
      <c r="I738" s="415">
        <v>0.13619999999999999</v>
      </c>
      <c r="J738" s="415">
        <v>3.09E-2</v>
      </c>
    </row>
    <row r="739" spans="1:10" s="296" customFormat="1" ht="24" customHeight="1" x14ac:dyDescent="0.25">
      <c r="A739" s="404" t="s">
        <v>120</v>
      </c>
      <c r="B739" s="405" t="s">
        <v>563</v>
      </c>
      <c r="C739" s="404" t="s">
        <v>77</v>
      </c>
      <c r="D739" s="404" t="s">
        <v>564</v>
      </c>
      <c r="E739" s="407">
        <v>0.48193000000000003</v>
      </c>
      <c r="F739" s="408">
        <v>1</v>
      </c>
      <c r="G739" s="408">
        <v>0</v>
      </c>
      <c r="H739" s="415">
        <v>23.360800000000001</v>
      </c>
      <c r="I739" s="415">
        <v>5.4595000000000002</v>
      </c>
      <c r="J739" s="415">
        <v>11.2583</v>
      </c>
    </row>
    <row r="740" spans="1:10" s="296" customFormat="1" ht="24" customHeight="1" x14ac:dyDescent="0.25">
      <c r="A740" s="404" t="s">
        <v>120</v>
      </c>
      <c r="B740" s="405" t="s">
        <v>379</v>
      </c>
      <c r="C740" s="404" t="s">
        <v>77</v>
      </c>
      <c r="D740" s="404" t="s">
        <v>380</v>
      </c>
      <c r="E740" s="407">
        <v>0.20080000000000001</v>
      </c>
      <c r="F740" s="408">
        <v>1</v>
      </c>
      <c r="G740" s="408">
        <v>0</v>
      </c>
      <c r="H740" s="415">
        <v>14.9132</v>
      </c>
      <c r="I740" s="415">
        <v>9.4796999999999993</v>
      </c>
      <c r="J740" s="415">
        <v>2.9946000000000002</v>
      </c>
    </row>
    <row r="741" spans="1:10" s="296" customFormat="1" ht="26.1" customHeight="1" x14ac:dyDescent="0.25">
      <c r="A741" s="404" t="s">
        <v>120</v>
      </c>
      <c r="B741" s="405" t="s">
        <v>381</v>
      </c>
      <c r="C741" s="404" t="s">
        <v>77</v>
      </c>
      <c r="D741" s="404" t="s">
        <v>382</v>
      </c>
      <c r="E741" s="407">
        <v>0.48193000000000003</v>
      </c>
      <c r="F741" s="408">
        <v>1</v>
      </c>
      <c r="G741" s="408">
        <v>0</v>
      </c>
      <c r="H741" s="415">
        <v>11.583399999999999</v>
      </c>
      <c r="I741" s="415">
        <v>7.3631000000000002</v>
      </c>
      <c r="J741" s="415">
        <v>5.5823999999999998</v>
      </c>
    </row>
    <row r="742" spans="1:10" s="296" customFormat="1" ht="20.100000000000001" customHeight="1" x14ac:dyDescent="0.25">
      <c r="A742" s="454"/>
      <c r="B742" s="454"/>
      <c r="C742" s="454"/>
      <c r="D742" s="454"/>
      <c r="E742" s="454"/>
      <c r="F742" s="454" t="s">
        <v>163</v>
      </c>
      <c r="G742" s="454"/>
      <c r="H742" s="454"/>
      <c r="I742" s="454"/>
      <c r="J742" s="416">
        <v>19.866199999999999</v>
      </c>
    </row>
    <row r="743" spans="1:10" s="296" customFormat="1" ht="20.100000000000001" customHeight="1" x14ac:dyDescent="0.25">
      <c r="A743" s="412" t="s">
        <v>164</v>
      </c>
      <c r="B743" s="413" t="s">
        <v>67</v>
      </c>
      <c r="C743" s="412" t="s">
        <v>68</v>
      </c>
      <c r="D743" s="412" t="s">
        <v>125</v>
      </c>
      <c r="E743" s="413" t="s">
        <v>157</v>
      </c>
      <c r="F743" s="456" t="s">
        <v>165</v>
      </c>
      <c r="G743" s="456"/>
      <c r="H743" s="456"/>
      <c r="I743" s="456"/>
      <c r="J743" s="413" t="s">
        <v>160</v>
      </c>
    </row>
    <row r="744" spans="1:10" s="296" customFormat="1" ht="24" customHeight="1" x14ac:dyDescent="0.25">
      <c r="A744" s="404" t="s">
        <v>120</v>
      </c>
      <c r="B744" s="405" t="s">
        <v>366</v>
      </c>
      <c r="C744" s="404" t="s">
        <v>77</v>
      </c>
      <c r="D744" s="404" t="s">
        <v>367</v>
      </c>
      <c r="E744" s="407">
        <v>2</v>
      </c>
      <c r="F744" s="404"/>
      <c r="G744" s="404"/>
      <c r="H744" s="404"/>
      <c r="I744" s="415">
        <v>22.445399999999999</v>
      </c>
      <c r="J744" s="415">
        <v>44.890799999999999</v>
      </c>
    </row>
    <row r="745" spans="1:10" s="296" customFormat="1" ht="24" customHeight="1" x14ac:dyDescent="0.25">
      <c r="A745" s="404" t="s">
        <v>120</v>
      </c>
      <c r="B745" s="405" t="s">
        <v>318</v>
      </c>
      <c r="C745" s="404" t="s">
        <v>77</v>
      </c>
      <c r="D745" s="404" t="s">
        <v>319</v>
      </c>
      <c r="E745" s="407">
        <v>1</v>
      </c>
      <c r="F745" s="404"/>
      <c r="G745" s="404"/>
      <c r="H745" s="404"/>
      <c r="I745" s="415">
        <v>31.332599999999999</v>
      </c>
      <c r="J745" s="415">
        <v>31.332599999999999</v>
      </c>
    </row>
    <row r="746" spans="1:10" s="296" customFormat="1" ht="24" customHeight="1" x14ac:dyDescent="0.25">
      <c r="A746" s="404" t="s">
        <v>120</v>
      </c>
      <c r="B746" s="405" t="s">
        <v>383</v>
      </c>
      <c r="C746" s="404" t="s">
        <v>77</v>
      </c>
      <c r="D746" s="404" t="s">
        <v>384</v>
      </c>
      <c r="E746" s="407">
        <v>1</v>
      </c>
      <c r="F746" s="404"/>
      <c r="G746" s="404"/>
      <c r="H746" s="404"/>
      <c r="I746" s="415">
        <v>27.334099999999999</v>
      </c>
      <c r="J746" s="415">
        <v>27.334099999999999</v>
      </c>
    </row>
    <row r="747" spans="1:10" s="296" customFormat="1" ht="24" customHeight="1" x14ac:dyDescent="0.25">
      <c r="A747" s="404" t="s">
        <v>120</v>
      </c>
      <c r="B747" s="405" t="s">
        <v>166</v>
      </c>
      <c r="C747" s="404" t="s">
        <v>77</v>
      </c>
      <c r="D747" s="404" t="s">
        <v>124</v>
      </c>
      <c r="E747" s="407">
        <v>2</v>
      </c>
      <c r="F747" s="404"/>
      <c r="G747" s="404"/>
      <c r="H747" s="404"/>
      <c r="I747" s="415">
        <v>21.6083</v>
      </c>
      <c r="J747" s="415">
        <v>43.2166</v>
      </c>
    </row>
    <row r="748" spans="1:10" s="296" customFormat="1" ht="20.100000000000001" customHeight="1" x14ac:dyDescent="0.25">
      <c r="A748" s="454"/>
      <c r="B748" s="454"/>
      <c r="C748" s="454"/>
      <c r="D748" s="454"/>
      <c r="E748" s="454"/>
      <c r="F748" s="454" t="s">
        <v>167</v>
      </c>
      <c r="G748" s="454"/>
      <c r="H748" s="454"/>
      <c r="I748" s="454"/>
      <c r="J748" s="416">
        <v>146.7741</v>
      </c>
    </row>
    <row r="749" spans="1:10" s="296" customFormat="1" ht="20.100000000000001" customHeight="1" x14ac:dyDescent="0.25">
      <c r="A749" s="454"/>
      <c r="B749" s="454"/>
      <c r="C749" s="454"/>
      <c r="D749" s="454"/>
      <c r="E749" s="454"/>
      <c r="F749" s="454" t="s">
        <v>168</v>
      </c>
      <c r="G749" s="454"/>
      <c r="H749" s="454"/>
      <c r="I749" s="454"/>
      <c r="J749" s="416">
        <v>0</v>
      </c>
    </row>
    <row r="750" spans="1:10" s="296" customFormat="1" ht="20.100000000000001" customHeight="1" x14ac:dyDescent="0.25">
      <c r="A750" s="454"/>
      <c r="B750" s="454"/>
      <c r="C750" s="454"/>
      <c r="D750" s="454"/>
      <c r="E750" s="454"/>
      <c r="F750" s="454" t="s">
        <v>169</v>
      </c>
      <c r="G750" s="454"/>
      <c r="H750" s="454"/>
      <c r="I750" s="454"/>
      <c r="J750" s="416">
        <v>166.6403</v>
      </c>
    </row>
    <row r="751" spans="1:10" s="296" customFormat="1" ht="20.100000000000001" customHeight="1" x14ac:dyDescent="0.25">
      <c r="A751" s="454"/>
      <c r="B751" s="454"/>
      <c r="C751" s="454"/>
      <c r="D751" s="454"/>
      <c r="E751" s="454"/>
      <c r="F751" s="454" t="s">
        <v>170</v>
      </c>
      <c r="G751" s="454"/>
      <c r="H751" s="454"/>
      <c r="I751" s="454"/>
      <c r="J751" s="416">
        <v>0</v>
      </c>
    </row>
    <row r="752" spans="1:10" s="296" customFormat="1" ht="20.100000000000001" customHeight="1" x14ac:dyDescent="0.25">
      <c r="A752" s="454"/>
      <c r="B752" s="454"/>
      <c r="C752" s="454"/>
      <c r="D752" s="454"/>
      <c r="E752" s="454"/>
      <c r="F752" s="454" t="s">
        <v>171</v>
      </c>
      <c r="G752" s="454"/>
      <c r="H752" s="454"/>
      <c r="I752" s="454"/>
      <c r="J752" s="416">
        <v>0</v>
      </c>
    </row>
    <row r="753" spans="1:10" s="296" customFormat="1" ht="20.100000000000001" customHeight="1" x14ac:dyDescent="0.25">
      <c r="A753" s="454"/>
      <c r="B753" s="454"/>
      <c r="C753" s="454"/>
      <c r="D753" s="454"/>
      <c r="E753" s="454"/>
      <c r="F753" s="454" t="s">
        <v>172</v>
      </c>
      <c r="G753" s="454"/>
      <c r="H753" s="454"/>
      <c r="I753" s="454"/>
      <c r="J753" s="416">
        <v>4</v>
      </c>
    </row>
    <row r="754" spans="1:10" s="296" customFormat="1" ht="20.100000000000001" customHeight="1" x14ac:dyDescent="0.25">
      <c r="A754" s="454"/>
      <c r="B754" s="454"/>
      <c r="C754" s="454"/>
      <c r="D754" s="454"/>
      <c r="E754" s="454"/>
      <c r="F754" s="454" t="s">
        <v>173</v>
      </c>
      <c r="G754" s="454"/>
      <c r="H754" s="454"/>
      <c r="I754" s="454"/>
      <c r="J754" s="416">
        <v>41.6601</v>
      </c>
    </row>
    <row r="755" spans="1:10" s="296" customFormat="1" ht="20.100000000000001" customHeight="1" x14ac:dyDescent="0.25">
      <c r="A755" s="412" t="s">
        <v>210</v>
      </c>
      <c r="B755" s="413" t="s">
        <v>68</v>
      </c>
      <c r="C755" s="412" t="s">
        <v>67</v>
      </c>
      <c r="D755" s="412" t="s">
        <v>54</v>
      </c>
      <c r="E755" s="413" t="s">
        <v>157</v>
      </c>
      <c r="F755" s="413" t="s">
        <v>187</v>
      </c>
      <c r="G755" s="456" t="s">
        <v>188</v>
      </c>
      <c r="H755" s="456"/>
      <c r="I755" s="456"/>
      <c r="J755" s="413" t="s">
        <v>160</v>
      </c>
    </row>
    <row r="756" spans="1:10" s="296" customFormat="1" ht="24" customHeight="1" x14ac:dyDescent="0.25">
      <c r="A756" s="404" t="s">
        <v>120</v>
      </c>
      <c r="B756" s="405" t="s">
        <v>77</v>
      </c>
      <c r="C756" s="404" t="s">
        <v>385</v>
      </c>
      <c r="D756" s="404" t="s">
        <v>386</v>
      </c>
      <c r="E756" s="407">
        <v>11.775</v>
      </c>
      <c r="F756" s="406" t="s">
        <v>32</v>
      </c>
      <c r="G756" s="461">
        <v>12.059799999999999</v>
      </c>
      <c r="H756" s="461"/>
      <c r="I756" s="460"/>
      <c r="J756" s="415">
        <v>142.00409999999999</v>
      </c>
    </row>
    <row r="757" spans="1:10" s="296" customFormat="1" ht="26.1" customHeight="1" x14ac:dyDescent="0.25">
      <c r="A757" s="404" t="s">
        <v>120</v>
      </c>
      <c r="B757" s="405" t="s">
        <v>77</v>
      </c>
      <c r="C757" s="404" t="s">
        <v>387</v>
      </c>
      <c r="D757" s="404" t="s">
        <v>388</v>
      </c>
      <c r="E757" s="407">
        <v>1</v>
      </c>
      <c r="F757" s="406" t="s">
        <v>7</v>
      </c>
      <c r="G757" s="461">
        <v>354.80900000000003</v>
      </c>
      <c r="H757" s="461"/>
      <c r="I757" s="460"/>
      <c r="J757" s="415">
        <v>354.80900000000003</v>
      </c>
    </row>
    <row r="758" spans="1:10" s="296" customFormat="1" ht="20.100000000000001" customHeight="1" x14ac:dyDescent="0.25">
      <c r="A758" s="454"/>
      <c r="B758" s="454"/>
      <c r="C758" s="454"/>
      <c r="D758" s="454"/>
      <c r="E758" s="454"/>
      <c r="F758" s="454" t="s">
        <v>215</v>
      </c>
      <c r="G758" s="454"/>
      <c r="H758" s="454"/>
      <c r="I758" s="454"/>
      <c r="J758" s="416">
        <v>496.81310000000002</v>
      </c>
    </row>
    <row r="759" spans="1:10" s="296" customFormat="1" ht="20.100000000000001" customHeight="1" x14ac:dyDescent="0.25">
      <c r="A759" s="412" t="s">
        <v>185</v>
      </c>
      <c r="B759" s="413" t="s">
        <v>68</v>
      </c>
      <c r="C759" s="412" t="s">
        <v>67</v>
      </c>
      <c r="D759" s="412" t="s">
        <v>186</v>
      </c>
      <c r="E759" s="413" t="s">
        <v>157</v>
      </c>
      <c r="F759" s="413" t="s">
        <v>187</v>
      </c>
      <c r="G759" s="456" t="s">
        <v>188</v>
      </c>
      <c r="H759" s="456"/>
      <c r="I759" s="456"/>
      <c r="J759" s="413" t="s">
        <v>160</v>
      </c>
    </row>
    <row r="760" spans="1:10" s="296" customFormat="1" ht="26.1" customHeight="1" x14ac:dyDescent="0.25">
      <c r="A760" s="399" t="s">
        <v>189</v>
      </c>
      <c r="B760" s="400" t="s">
        <v>77</v>
      </c>
      <c r="C760" s="399">
        <v>5212552</v>
      </c>
      <c r="D760" s="399" t="s">
        <v>369</v>
      </c>
      <c r="E760" s="402">
        <v>1</v>
      </c>
      <c r="F760" s="401" t="s">
        <v>7</v>
      </c>
      <c r="G760" s="462">
        <v>16.73</v>
      </c>
      <c r="H760" s="462"/>
      <c r="I760" s="463"/>
      <c r="J760" s="417">
        <v>16.73</v>
      </c>
    </row>
    <row r="761" spans="1:10" s="296" customFormat="1" ht="20.100000000000001" customHeight="1" x14ac:dyDescent="0.25">
      <c r="A761" s="454"/>
      <c r="B761" s="454"/>
      <c r="C761" s="454"/>
      <c r="D761" s="454"/>
      <c r="E761" s="454"/>
      <c r="F761" s="454" t="s">
        <v>191</v>
      </c>
      <c r="G761" s="454"/>
      <c r="H761" s="454"/>
      <c r="I761" s="454"/>
      <c r="J761" s="416">
        <v>16.73</v>
      </c>
    </row>
    <row r="762" spans="1:10" s="296" customFormat="1" ht="15" x14ac:dyDescent="0.25">
      <c r="A762" s="409"/>
      <c r="B762" s="409"/>
      <c r="C762" s="409"/>
      <c r="D762" s="409"/>
      <c r="E762" s="409"/>
      <c r="F762" s="410"/>
      <c r="G762" s="409"/>
      <c r="H762" s="410"/>
      <c r="I762" s="409"/>
      <c r="J762" s="410"/>
    </row>
    <row r="763" spans="1:10" s="296" customFormat="1" ht="15.75" thickBot="1" x14ac:dyDescent="0.3">
      <c r="A763" s="409"/>
      <c r="B763" s="409"/>
      <c r="C763" s="409"/>
      <c r="D763" s="409"/>
      <c r="E763" s="409" t="s">
        <v>116</v>
      </c>
      <c r="F763" s="410">
        <f>TRUNC(J735*23.39%,2)</f>
        <v>129.86000000000001</v>
      </c>
      <c r="G763" s="409"/>
      <c r="H763" s="455" t="s">
        <v>117</v>
      </c>
      <c r="I763" s="455"/>
      <c r="J763" s="410">
        <f>F763+J735</f>
        <v>685.06000000000006</v>
      </c>
    </row>
    <row r="764" spans="1:10" s="296" customFormat="1" ht="0.95" customHeight="1" thickTop="1" x14ac:dyDescent="0.25">
      <c r="A764" s="411"/>
      <c r="B764" s="411"/>
      <c r="C764" s="411"/>
      <c r="D764" s="411"/>
      <c r="E764" s="411"/>
      <c r="F764" s="411"/>
      <c r="G764" s="411"/>
      <c r="H764" s="411"/>
      <c r="I764" s="411"/>
      <c r="J764" s="411"/>
    </row>
    <row r="765" spans="1:10" s="296" customFormat="1" ht="18" customHeight="1" x14ac:dyDescent="0.25">
      <c r="A765" s="412"/>
      <c r="B765" s="413" t="s">
        <v>67</v>
      </c>
      <c r="C765" s="412" t="s">
        <v>68</v>
      </c>
      <c r="D765" s="412" t="s">
        <v>1</v>
      </c>
      <c r="E765" s="457" t="s">
        <v>110</v>
      </c>
      <c r="F765" s="457"/>
      <c r="G765" s="414" t="s">
        <v>2</v>
      </c>
      <c r="H765" s="413" t="s">
        <v>3</v>
      </c>
      <c r="I765" s="413" t="s">
        <v>69</v>
      </c>
      <c r="J765" s="413" t="s">
        <v>45</v>
      </c>
    </row>
    <row r="766" spans="1:10" s="296" customFormat="1" ht="26.1" customHeight="1" x14ac:dyDescent="0.25">
      <c r="A766" s="394" t="s">
        <v>111</v>
      </c>
      <c r="B766" s="395" t="s">
        <v>540</v>
      </c>
      <c r="C766" s="394" t="s">
        <v>541</v>
      </c>
      <c r="D766" s="394" t="s">
        <v>542</v>
      </c>
      <c r="E766" s="458" t="s">
        <v>543</v>
      </c>
      <c r="F766" s="458"/>
      <c r="G766" s="396" t="s">
        <v>19</v>
      </c>
      <c r="H766" s="397">
        <v>1</v>
      </c>
      <c r="I766" s="398">
        <v>36.799999999999997</v>
      </c>
      <c r="J766" s="398">
        <v>36.799999999999997</v>
      </c>
    </row>
    <row r="767" spans="1:10" s="296" customFormat="1" ht="24" customHeight="1" x14ac:dyDescent="0.25">
      <c r="A767" s="404" t="s">
        <v>120</v>
      </c>
      <c r="B767" s="405" t="s">
        <v>533</v>
      </c>
      <c r="C767" s="404" t="s">
        <v>77</v>
      </c>
      <c r="D767" s="404" t="s">
        <v>356</v>
      </c>
      <c r="E767" s="460" t="s">
        <v>125</v>
      </c>
      <c r="F767" s="460"/>
      <c r="G767" s="406" t="s">
        <v>126</v>
      </c>
      <c r="H767" s="407">
        <v>0.5</v>
      </c>
      <c r="I767" s="408">
        <v>30.410299999999999</v>
      </c>
      <c r="J767" s="408">
        <v>15.2</v>
      </c>
    </row>
    <row r="768" spans="1:10" s="296" customFormat="1" ht="24" customHeight="1" x14ac:dyDescent="0.25">
      <c r="A768" s="404" t="s">
        <v>120</v>
      </c>
      <c r="B768" s="405" t="s">
        <v>123</v>
      </c>
      <c r="C768" s="404" t="s">
        <v>77</v>
      </c>
      <c r="D768" s="404" t="s">
        <v>124</v>
      </c>
      <c r="E768" s="460" t="s">
        <v>125</v>
      </c>
      <c r="F768" s="460"/>
      <c r="G768" s="406" t="s">
        <v>126</v>
      </c>
      <c r="H768" s="407">
        <v>1</v>
      </c>
      <c r="I768" s="408">
        <v>21.6083</v>
      </c>
      <c r="J768" s="408">
        <v>21.6</v>
      </c>
    </row>
    <row r="769" spans="1:10" s="296" customFormat="1" ht="15" x14ac:dyDescent="0.25">
      <c r="A769" s="409"/>
      <c r="B769" s="409"/>
      <c r="C769" s="409"/>
      <c r="D769" s="409"/>
      <c r="E769" s="409"/>
      <c r="F769" s="410"/>
      <c r="G769" s="409"/>
      <c r="H769" s="410"/>
      <c r="I769" s="409"/>
      <c r="J769" s="410"/>
    </row>
    <row r="770" spans="1:10" s="296" customFormat="1" ht="15.75" thickBot="1" x14ac:dyDescent="0.3">
      <c r="A770" s="409"/>
      <c r="B770" s="409"/>
      <c r="C770" s="409"/>
      <c r="D770" s="409"/>
      <c r="E770" s="409" t="s">
        <v>116</v>
      </c>
      <c r="F770" s="410">
        <v>8.6</v>
      </c>
      <c r="G770" s="409"/>
      <c r="H770" s="455" t="s">
        <v>117</v>
      </c>
      <c r="I770" s="455"/>
      <c r="J770" s="410">
        <v>45.4</v>
      </c>
    </row>
    <row r="771" spans="1:10" s="296" customFormat="1" ht="0.95" customHeight="1" thickTop="1" thickBot="1" x14ac:dyDescent="0.3">
      <c r="A771" s="411"/>
      <c r="B771" s="411"/>
      <c r="C771" s="411"/>
      <c r="D771" s="411"/>
      <c r="E771" s="411"/>
      <c r="F771" s="411"/>
      <c r="G771" s="411"/>
      <c r="H771" s="411"/>
      <c r="I771" s="411"/>
      <c r="J771" s="411"/>
    </row>
    <row r="772" spans="1:10" s="296" customFormat="1" ht="0.95" customHeight="1" thickTop="1" x14ac:dyDescent="0.25">
      <c r="A772" s="411"/>
      <c r="B772" s="411"/>
      <c r="C772" s="411"/>
      <c r="D772" s="411"/>
      <c r="E772" s="411"/>
      <c r="F772" s="411"/>
      <c r="G772" s="411"/>
      <c r="H772" s="411"/>
      <c r="I772" s="411"/>
      <c r="J772" s="411"/>
    </row>
    <row r="773" spans="1:10" s="296" customFormat="1" ht="18" customHeight="1" x14ac:dyDescent="0.25">
      <c r="A773" s="412"/>
      <c r="B773" s="413" t="s">
        <v>67</v>
      </c>
      <c r="C773" s="412" t="s">
        <v>68</v>
      </c>
      <c r="D773" s="412" t="s">
        <v>1</v>
      </c>
      <c r="E773" s="457" t="s">
        <v>110</v>
      </c>
      <c r="F773" s="457"/>
      <c r="G773" s="414" t="s">
        <v>2</v>
      </c>
      <c r="H773" s="413" t="s">
        <v>3</v>
      </c>
      <c r="I773" s="413" t="s">
        <v>69</v>
      </c>
      <c r="J773" s="413" t="s">
        <v>45</v>
      </c>
    </row>
    <row r="774" spans="1:10" s="296" customFormat="1" ht="26.1" customHeight="1" x14ac:dyDescent="0.25">
      <c r="A774" s="394" t="s">
        <v>111</v>
      </c>
      <c r="B774" s="395" t="s">
        <v>244</v>
      </c>
      <c r="C774" s="394" t="s">
        <v>77</v>
      </c>
      <c r="D774" s="394" t="s">
        <v>245</v>
      </c>
      <c r="E774" s="458" t="s">
        <v>94</v>
      </c>
      <c r="F774" s="458"/>
      <c r="G774" s="396" t="s">
        <v>15</v>
      </c>
      <c r="H774" s="397">
        <v>1</v>
      </c>
      <c r="I774" s="398">
        <v>1.1000000000000001</v>
      </c>
      <c r="J774" s="398">
        <v>1.1000000000000001</v>
      </c>
    </row>
    <row r="775" spans="1:10" s="296" customFormat="1" ht="15" customHeight="1" x14ac:dyDescent="0.25">
      <c r="A775" s="457" t="s">
        <v>155</v>
      </c>
      <c r="B775" s="456" t="s">
        <v>67</v>
      </c>
      <c r="C775" s="457" t="s">
        <v>68</v>
      </c>
      <c r="D775" s="457" t="s">
        <v>156</v>
      </c>
      <c r="E775" s="456" t="s">
        <v>157</v>
      </c>
      <c r="F775" s="459" t="s">
        <v>158</v>
      </c>
      <c r="G775" s="456"/>
      <c r="H775" s="459" t="s">
        <v>159</v>
      </c>
      <c r="I775" s="456"/>
      <c r="J775" s="456" t="s">
        <v>160</v>
      </c>
    </row>
    <row r="776" spans="1:10" s="296" customFormat="1" ht="15" customHeight="1" x14ac:dyDescent="0.25">
      <c r="A776" s="456"/>
      <c r="B776" s="456"/>
      <c r="C776" s="456"/>
      <c r="D776" s="456"/>
      <c r="E776" s="456"/>
      <c r="F776" s="413" t="s">
        <v>161</v>
      </c>
      <c r="G776" s="413" t="s">
        <v>162</v>
      </c>
      <c r="H776" s="413" t="s">
        <v>161</v>
      </c>
      <c r="I776" s="413" t="s">
        <v>162</v>
      </c>
      <c r="J776" s="456"/>
    </row>
    <row r="777" spans="1:10" s="296" customFormat="1" ht="26.1" customHeight="1" x14ac:dyDescent="0.25">
      <c r="A777" s="404" t="s">
        <v>120</v>
      </c>
      <c r="B777" s="405" t="s">
        <v>229</v>
      </c>
      <c r="C777" s="404" t="s">
        <v>77</v>
      </c>
      <c r="D777" s="404" t="s">
        <v>230</v>
      </c>
      <c r="E777" s="407">
        <v>1</v>
      </c>
      <c r="F777" s="408">
        <v>1</v>
      </c>
      <c r="G777" s="408">
        <v>0</v>
      </c>
      <c r="H777" s="415">
        <v>269.45830000000001</v>
      </c>
      <c r="I777" s="415">
        <v>94.924099999999996</v>
      </c>
      <c r="J777" s="415">
        <v>269.45830000000001</v>
      </c>
    </row>
    <row r="778" spans="1:10" s="296" customFormat="1" ht="20.100000000000001" customHeight="1" x14ac:dyDescent="0.25">
      <c r="A778" s="454"/>
      <c r="B778" s="454"/>
      <c r="C778" s="454"/>
      <c r="D778" s="454"/>
      <c r="E778" s="454"/>
      <c r="F778" s="454" t="s">
        <v>163</v>
      </c>
      <c r="G778" s="454"/>
      <c r="H778" s="454"/>
      <c r="I778" s="454"/>
      <c r="J778" s="416">
        <v>269.45830000000001</v>
      </c>
    </row>
    <row r="779" spans="1:10" s="296" customFormat="1" ht="20.100000000000001" customHeight="1" x14ac:dyDescent="0.25">
      <c r="A779" s="454"/>
      <c r="B779" s="454"/>
      <c r="C779" s="454"/>
      <c r="D779" s="454"/>
      <c r="E779" s="454"/>
      <c r="F779" s="454" t="s">
        <v>169</v>
      </c>
      <c r="G779" s="454"/>
      <c r="H779" s="454"/>
      <c r="I779" s="454"/>
      <c r="J779" s="416">
        <v>269.45830000000001</v>
      </c>
    </row>
    <row r="780" spans="1:10" s="296" customFormat="1" ht="20.100000000000001" customHeight="1" x14ac:dyDescent="0.25">
      <c r="A780" s="454"/>
      <c r="B780" s="454"/>
      <c r="C780" s="454"/>
      <c r="D780" s="454"/>
      <c r="E780" s="454"/>
      <c r="F780" s="454" t="s">
        <v>170</v>
      </c>
      <c r="G780" s="454"/>
      <c r="H780" s="454"/>
      <c r="I780" s="454"/>
      <c r="J780" s="416">
        <v>1.43E-2</v>
      </c>
    </row>
    <row r="781" spans="1:10" s="296" customFormat="1" ht="20.100000000000001" customHeight="1" x14ac:dyDescent="0.25">
      <c r="A781" s="454"/>
      <c r="B781" s="454"/>
      <c r="C781" s="454"/>
      <c r="D781" s="454"/>
      <c r="E781" s="454"/>
      <c r="F781" s="454" t="s">
        <v>171</v>
      </c>
      <c r="G781" s="454"/>
      <c r="H781" s="454"/>
      <c r="I781" s="454"/>
      <c r="J781" s="416">
        <v>1.54E-2</v>
      </c>
    </row>
    <row r="782" spans="1:10" s="296" customFormat="1" ht="20.100000000000001" customHeight="1" x14ac:dyDescent="0.25">
      <c r="A782" s="454"/>
      <c r="B782" s="454"/>
      <c r="C782" s="454"/>
      <c r="D782" s="454"/>
      <c r="E782" s="454"/>
      <c r="F782" s="454" t="s">
        <v>172</v>
      </c>
      <c r="G782" s="454"/>
      <c r="H782" s="454"/>
      <c r="I782" s="454"/>
      <c r="J782" s="416">
        <v>249</v>
      </c>
    </row>
    <row r="783" spans="1:10" s="296" customFormat="1" ht="20.100000000000001" customHeight="1" x14ac:dyDescent="0.25">
      <c r="A783" s="454"/>
      <c r="B783" s="454"/>
      <c r="C783" s="454"/>
      <c r="D783" s="454"/>
      <c r="E783" s="454"/>
      <c r="F783" s="454" t="s">
        <v>173</v>
      </c>
      <c r="G783" s="454"/>
      <c r="H783" s="454"/>
      <c r="I783" s="454"/>
      <c r="J783" s="416">
        <v>1.0822000000000001</v>
      </c>
    </row>
    <row r="784" spans="1:10" s="296" customFormat="1" ht="15" x14ac:dyDescent="0.25">
      <c r="A784" s="409"/>
      <c r="B784" s="409"/>
      <c r="C784" s="409"/>
      <c r="D784" s="409"/>
      <c r="E784" s="409"/>
      <c r="F784" s="410"/>
      <c r="G784" s="409"/>
      <c r="H784" s="410"/>
      <c r="I784" s="409"/>
      <c r="J784" s="410"/>
    </row>
    <row r="785" spans="1:10" s="296" customFormat="1" ht="15.75" thickBot="1" x14ac:dyDescent="0.3">
      <c r="A785" s="409"/>
      <c r="B785" s="409"/>
      <c r="C785" s="409"/>
      <c r="D785" s="409"/>
      <c r="E785" s="409" t="s">
        <v>116</v>
      </c>
      <c r="F785" s="410">
        <v>0.25</v>
      </c>
      <c r="G785" s="409"/>
      <c r="H785" s="455" t="s">
        <v>117</v>
      </c>
      <c r="I785" s="455"/>
      <c r="J785" s="410">
        <v>1.35</v>
      </c>
    </row>
    <row r="786" spans="1:10" s="296" customFormat="1" ht="0.95" customHeight="1" thickTop="1" x14ac:dyDescent="0.25">
      <c r="A786" s="411"/>
      <c r="B786" s="411"/>
      <c r="C786" s="411"/>
      <c r="D786" s="411"/>
      <c r="E786" s="411"/>
      <c r="F786" s="411"/>
      <c r="G786" s="411"/>
      <c r="H786" s="411"/>
      <c r="I786" s="411"/>
      <c r="J786" s="411"/>
    </row>
    <row r="787" spans="1:10" s="296" customFormat="1" ht="18" customHeight="1" x14ac:dyDescent="0.25">
      <c r="A787" s="412"/>
      <c r="B787" s="413" t="s">
        <v>67</v>
      </c>
      <c r="C787" s="412" t="s">
        <v>68</v>
      </c>
      <c r="D787" s="412" t="s">
        <v>1</v>
      </c>
      <c r="E787" s="457" t="s">
        <v>110</v>
      </c>
      <c r="F787" s="457"/>
      <c r="G787" s="414" t="s">
        <v>2</v>
      </c>
      <c r="H787" s="413" t="s">
        <v>3</v>
      </c>
      <c r="I787" s="413" t="s">
        <v>69</v>
      </c>
      <c r="J787" s="413" t="s">
        <v>45</v>
      </c>
    </row>
    <row r="788" spans="1:10" s="296" customFormat="1" ht="26.1" customHeight="1" x14ac:dyDescent="0.25">
      <c r="A788" s="394" t="s">
        <v>111</v>
      </c>
      <c r="B788" s="395" t="s">
        <v>246</v>
      </c>
      <c r="C788" s="394" t="s">
        <v>77</v>
      </c>
      <c r="D788" s="394" t="s">
        <v>247</v>
      </c>
      <c r="E788" s="458" t="s">
        <v>94</v>
      </c>
      <c r="F788" s="458"/>
      <c r="G788" s="396" t="s">
        <v>15</v>
      </c>
      <c r="H788" s="397">
        <v>1</v>
      </c>
      <c r="I788" s="398">
        <v>0.88</v>
      </c>
      <c r="J788" s="398">
        <v>0.88</v>
      </c>
    </row>
    <row r="789" spans="1:10" s="296" customFormat="1" ht="15" customHeight="1" x14ac:dyDescent="0.25">
      <c r="A789" s="457" t="s">
        <v>155</v>
      </c>
      <c r="B789" s="456" t="s">
        <v>67</v>
      </c>
      <c r="C789" s="457" t="s">
        <v>68</v>
      </c>
      <c r="D789" s="457" t="s">
        <v>156</v>
      </c>
      <c r="E789" s="456" t="s">
        <v>157</v>
      </c>
      <c r="F789" s="459" t="s">
        <v>158</v>
      </c>
      <c r="G789" s="456"/>
      <c r="H789" s="459" t="s">
        <v>159</v>
      </c>
      <c r="I789" s="456"/>
      <c r="J789" s="456" t="s">
        <v>160</v>
      </c>
    </row>
    <row r="790" spans="1:10" s="296" customFormat="1" ht="15" customHeight="1" x14ac:dyDescent="0.25">
      <c r="A790" s="456"/>
      <c r="B790" s="456"/>
      <c r="C790" s="456"/>
      <c r="D790" s="456"/>
      <c r="E790" s="456"/>
      <c r="F790" s="413" t="s">
        <v>161</v>
      </c>
      <c r="G790" s="413" t="s">
        <v>162</v>
      </c>
      <c r="H790" s="413" t="s">
        <v>161</v>
      </c>
      <c r="I790" s="413" t="s">
        <v>162</v>
      </c>
      <c r="J790" s="456"/>
    </row>
    <row r="791" spans="1:10" s="296" customFormat="1" ht="26.1" customHeight="1" x14ac:dyDescent="0.25">
      <c r="A791" s="404" t="s">
        <v>120</v>
      </c>
      <c r="B791" s="405" t="s">
        <v>229</v>
      </c>
      <c r="C791" s="404" t="s">
        <v>77</v>
      </c>
      <c r="D791" s="404" t="s">
        <v>230</v>
      </c>
      <c r="E791" s="407">
        <v>1</v>
      </c>
      <c r="F791" s="408">
        <v>1</v>
      </c>
      <c r="G791" s="408">
        <v>0</v>
      </c>
      <c r="H791" s="415">
        <v>269.45830000000001</v>
      </c>
      <c r="I791" s="415">
        <v>94.924099999999996</v>
      </c>
      <c r="J791" s="415">
        <v>269.45830000000001</v>
      </c>
    </row>
    <row r="792" spans="1:10" s="296" customFormat="1" ht="20.100000000000001" customHeight="1" x14ac:dyDescent="0.25">
      <c r="A792" s="454"/>
      <c r="B792" s="454"/>
      <c r="C792" s="454"/>
      <c r="D792" s="454"/>
      <c r="E792" s="454"/>
      <c r="F792" s="454" t="s">
        <v>163</v>
      </c>
      <c r="G792" s="454"/>
      <c r="H792" s="454"/>
      <c r="I792" s="454"/>
      <c r="J792" s="416">
        <v>269.45830000000001</v>
      </c>
    </row>
    <row r="793" spans="1:10" s="296" customFormat="1" ht="20.100000000000001" customHeight="1" x14ac:dyDescent="0.25">
      <c r="A793" s="454"/>
      <c r="B793" s="454"/>
      <c r="C793" s="454"/>
      <c r="D793" s="454"/>
      <c r="E793" s="454"/>
      <c r="F793" s="454" t="s">
        <v>169</v>
      </c>
      <c r="G793" s="454"/>
      <c r="H793" s="454"/>
      <c r="I793" s="454"/>
      <c r="J793" s="416">
        <v>269.45830000000001</v>
      </c>
    </row>
    <row r="794" spans="1:10" s="296" customFormat="1" ht="20.100000000000001" customHeight="1" x14ac:dyDescent="0.25">
      <c r="A794" s="454"/>
      <c r="B794" s="454"/>
      <c r="C794" s="454"/>
      <c r="D794" s="454"/>
      <c r="E794" s="454"/>
      <c r="F794" s="454" t="s">
        <v>170</v>
      </c>
      <c r="G794" s="454"/>
      <c r="H794" s="454"/>
      <c r="I794" s="454"/>
      <c r="J794" s="416">
        <v>1.43E-2</v>
      </c>
    </row>
    <row r="795" spans="1:10" s="296" customFormat="1" ht="20.100000000000001" customHeight="1" x14ac:dyDescent="0.25">
      <c r="A795" s="454"/>
      <c r="B795" s="454"/>
      <c r="C795" s="454"/>
      <c r="D795" s="454"/>
      <c r="E795" s="454"/>
      <c r="F795" s="454" t="s">
        <v>171</v>
      </c>
      <c r="G795" s="454"/>
      <c r="H795" s="454"/>
      <c r="I795" s="454"/>
      <c r="J795" s="416">
        <v>1.23E-2</v>
      </c>
    </row>
    <row r="796" spans="1:10" s="296" customFormat="1" ht="20.100000000000001" customHeight="1" x14ac:dyDescent="0.25">
      <c r="A796" s="454"/>
      <c r="B796" s="454"/>
      <c r="C796" s="454"/>
      <c r="D796" s="454"/>
      <c r="E796" s="454"/>
      <c r="F796" s="454" t="s">
        <v>172</v>
      </c>
      <c r="G796" s="454"/>
      <c r="H796" s="454"/>
      <c r="I796" s="454"/>
      <c r="J796" s="416">
        <v>311.25</v>
      </c>
    </row>
    <row r="797" spans="1:10" s="296" customFormat="1" ht="20.100000000000001" customHeight="1" x14ac:dyDescent="0.25">
      <c r="A797" s="454"/>
      <c r="B797" s="454"/>
      <c r="C797" s="454"/>
      <c r="D797" s="454"/>
      <c r="E797" s="454"/>
      <c r="F797" s="454" t="s">
        <v>173</v>
      </c>
      <c r="G797" s="454"/>
      <c r="H797" s="454"/>
      <c r="I797" s="454"/>
      <c r="J797" s="416">
        <v>0.86570000000000003</v>
      </c>
    </row>
    <row r="798" spans="1:10" s="296" customFormat="1" ht="15" x14ac:dyDescent="0.25">
      <c r="A798" s="409"/>
      <c r="B798" s="409"/>
      <c r="C798" s="409"/>
      <c r="D798" s="409"/>
      <c r="E798" s="409"/>
      <c r="F798" s="410"/>
      <c r="G798" s="409"/>
      <c r="H798" s="410"/>
      <c r="I798" s="409"/>
      <c r="J798" s="410"/>
    </row>
    <row r="799" spans="1:10" s="296" customFormat="1" ht="15.75" thickBot="1" x14ac:dyDescent="0.3">
      <c r="A799" s="409"/>
      <c r="B799" s="409"/>
      <c r="C799" s="409"/>
      <c r="D799" s="409"/>
      <c r="E799" s="409" t="s">
        <v>116</v>
      </c>
      <c r="F799" s="410">
        <v>0.2</v>
      </c>
      <c r="G799" s="409"/>
      <c r="H799" s="455" t="s">
        <v>117</v>
      </c>
      <c r="I799" s="455"/>
      <c r="J799" s="410">
        <v>1.08</v>
      </c>
    </row>
    <row r="800" spans="1:10" s="296" customFormat="1" ht="0.95" customHeight="1" thickTop="1" x14ac:dyDescent="0.25">
      <c r="A800" s="411"/>
      <c r="B800" s="411"/>
      <c r="C800" s="411"/>
      <c r="D800" s="411"/>
      <c r="E800" s="411"/>
      <c r="F800" s="411"/>
      <c r="G800" s="411"/>
      <c r="H800" s="411"/>
      <c r="I800" s="411"/>
      <c r="J800" s="411"/>
    </row>
    <row r="801" spans="1:10" s="296" customFormat="1" ht="18" customHeight="1" x14ac:dyDescent="0.25">
      <c r="A801" s="412"/>
      <c r="B801" s="413" t="s">
        <v>67</v>
      </c>
      <c r="C801" s="412" t="s">
        <v>68</v>
      </c>
      <c r="D801" s="412" t="s">
        <v>1</v>
      </c>
      <c r="E801" s="457" t="s">
        <v>110</v>
      </c>
      <c r="F801" s="457"/>
      <c r="G801" s="414" t="s">
        <v>2</v>
      </c>
      <c r="H801" s="413" t="s">
        <v>3</v>
      </c>
      <c r="I801" s="413" t="s">
        <v>69</v>
      </c>
      <c r="J801" s="413" t="s">
        <v>45</v>
      </c>
    </row>
    <row r="802" spans="1:10" s="296" customFormat="1" ht="26.1" customHeight="1" x14ac:dyDescent="0.25">
      <c r="A802" s="394" t="s">
        <v>111</v>
      </c>
      <c r="B802" s="395" t="s">
        <v>248</v>
      </c>
      <c r="C802" s="394" t="s">
        <v>77</v>
      </c>
      <c r="D802" s="394" t="s">
        <v>249</v>
      </c>
      <c r="E802" s="458" t="s">
        <v>94</v>
      </c>
      <c r="F802" s="458"/>
      <c r="G802" s="396" t="s">
        <v>15</v>
      </c>
      <c r="H802" s="397">
        <v>1</v>
      </c>
      <c r="I802" s="398">
        <v>0.72</v>
      </c>
      <c r="J802" s="398">
        <v>0.72</v>
      </c>
    </row>
    <row r="803" spans="1:10" s="296" customFormat="1" ht="15" customHeight="1" x14ac:dyDescent="0.25">
      <c r="A803" s="457" t="s">
        <v>155</v>
      </c>
      <c r="B803" s="456" t="s">
        <v>67</v>
      </c>
      <c r="C803" s="457" t="s">
        <v>68</v>
      </c>
      <c r="D803" s="457" t="s">
        <v>156</v>
      </c>
      <c r="E803" s="456" t="s">
        <v>157</v>
      </c>
      <c r="F803" s="459" t="s">
        <v>158</v>
      </c>
      <c r="G803" s="456"/>
      <c r="H803" s="459" t="s">
        <v>159</v>
      </c>
      <c r="I803" s="456"/>
      <c r="J803" s="456" t="s">
        <v>160</v>
      </c>
    </row>
    <row r="804" spans="1:10" s="296" customFormat="1" ht="15" customHeight="1" x14ac:dyDescent="0.25">
      <c r="A804" s="456"/>
      <c r="B804" s="456"/>
      <c r="C804" s="456"/>
      <c r="D804" s="456"/>
      <c r="E804" s="456"/>
      <c r="F804" s="413" t="s">
        <v>161</v>
      </c>
      <c r="G804" s="413" t="s">
        <v>162</v>
      </c>
      <c r="H804" s="413" t="s">
        <v>161</v>
      </c>
      <c r="I804" s="413" t="s">
        <v>162</v>
      </c>
      <c r="J804" s="456"/>
    </row>
    <row r="805" spans="1:10" s="296" customFormat="1" ht="26.1" customHeight="1" x14ac:dyDescent="0.25">
      <c r="A805" s="404" t="s">
        <v>120</v>
      </c>
      <c r="B805" s="405" t="s">
        <v>229</v>
      </c>
      <c r="C805" s="404" t="s">
        <v>77</v>
      </c>
      <c r="D805" s="404" t="s">
        <v>230</v>
      </c>
      <c r="E805" s="407">
        <v>1</v>
      </c>
      <c r="F805" s="408">
        <v>1</v>
      </c>
      <c r="G805" s="408">
        <v>0</v>
      </c>
      <c r="H805" s="415">
        <v>269.45830000000001</v>
      </c>
      <c r="I805" s="415">
        <v>94.924099999999996</v>
      </c>
      <c r="J805" s="415">
        <v>269.45830000000001</v>
      </c>
    </row>
    <row r="806" spans="1:10" s="296" customFormat="1" ht="20.100000000000001" customHeight="1" x14ac:dyDescent="0.25">
      <c r="A806" s="454"/>
      <c r="B806" s="454"/>
      <c r="C806" s="454"/>
      <c r="D806" s="454"/>
      <c r="E806" s="454"/>
      <c r="F806" s="454" t="s">
        <v>163</v>
      </c>
      <c r="G806" s="454"/>
      <c r="H806" s="454"/>
      <c r="I806" s="454"/>
      <c r="J806" s="416">
        <v>269.45830000000001</v>
      </c>
    </row>
    <row r="807" spans="1:10" s="296" customFormat="1" ht="20.100000000000001" customHeight="1" x14ac:dyDescent="0.25">
      <c r="A807" s="454"/>
      <c r="B807" s="454"/>
      <c r="C807" s="454"/>
      <c r="D807" s="454"/>
      <c r="E807" s="454"/>
      <c r="F807" s="454" t="s">
        <v>169</v>
      </c>
      <c r="G807" s="454"/>
      <c r="H807" s="454"/>
      <c r="I807" s="454"/>
      <c r="J807" s="416">
        <v>269.45830000000001</v>
      </c>
    </row>
    <row r="808" spans="1:10" s="296" customFormat="1" ht="20.100000000000001" customHeight="1" x14ac:dyDescent="0.25">
      <c r="A808" s="454"/>
      <c r="B808" s="454"/>
      <c r="C808" s="454"/>
      <c r="D808" s="454"/>
      <c r="E808" s="454"/>
      <c r="F808" s="454" t="s">
        <v>170</v>
      </c>
      <c r="G808" s="454"/>
      <c r="H808" s="454"/>
      <c r="I808" s="454"/>
      <c r="J808" s="416">
        <v>0</v>
      </c>
    </row>
    <row r="809" spans="1:10" s="296" customFormat="1" ht="20.100000000000001" customHeight="1" x14ac:dyDescent="0.25">
      <c r="A809" s="454"/>
      <c r="B809" s="454"/>
      <c r="C809" s="454"/>
      <c r="D809" s="454"/>
      <c r="E809" s="454"/>
      <c r="F809" s="454" t="s">
        <v>171</v>
      </c>
      <c r="G809" s="454"/>
      <c r="H809" s="454"/>
      <c r="I809" s="454"/>
      <c r="J809" s="416">
        <v>0</v>
      </c>
    </row>
    <row r="810" spans="1:10" s="296" customFormat="1" ht="20.100000000000001" customHeight="1" x14ac:dyDescent="0.25">
      <c r="A810" s="454"/>
      <c r="B810" s="454"/>
      <c r="C810" s="454"/>
      <c r="D810" s="454"/>
      <c r="E810" s="454"/>
      <c r="F810" s="454" t="s">
        <v>172</v>
      </c>
      <c r="G810" s="454"/>
      <c r="H810" s="454"/>
      <c r="I810" s="454"/>
      <c r="J810" s="416">
        <v>373.5</v>
      </c>
    </row>
    <row r="811" spans="1:10" s="296" customFormat="1" ht="20.100000000000001" customHeight="1" x14ac:dyDescent="0.25">
      <c r="A811" s="454"/>
      <c r="B811" s="454"/>
      <c r="C811" s="454"/>
      <c r="D811" s="454"/>
      <c r="E811" s="454"/>
      <c r="F811" s="454" t="s">
        <v>173</v>
      </c>
      <c r="G811" s="454"/>
      <c r="H811" s="454"/>
      <c r="I811" s="454"/>
      <c r="J811" s="416">
        <v>0.72140000000000004</v>
      </c>
    </row>
    <row r="812" spans="1:10" s="296" customFormat="1" ht="15" x14ac:dyDescent="0.25">
      <c r="A812" s="409"/>
      <c r="B812" s="409"/>
      <c r="C812" s="409"/>
      <c r="D812" s="409"/>
      <c r="E812" s="409"/>
      <c r="F812" s="410"/>
      <c r="G812" s="409"/>
      <c r="H812" s="410"/>
      <c r="I812" s="409"/>
      <c r="J812" s="410"/>
    </row>
    <row r="813" spans="1:10" s="296" customFormat="1" ht="15.75" thickBot="1" x14ac:dyDescent="0.3">
      <c r="A813" s="409"/>
      <c r="B813" s="409"/>
      <c r="C813" s="409"/>
      <c r="D813" s="409"/>
      <c r="E813" s="409" t="s">
        <v>116</v>
      </c>
      <c r="F813" s="410">
        <v>0.16</v>
      </c>
      <c r="G813" s="409"/>
      <c r="H813" s="455" t="s">
        <v>117</v>
      </c>
      <c r="I813" s="455"/>
      <c r="J813" s="410">
        <v>0.88</v>
      </c>
    </row>
    <row r="814" spans="1:10" s="296" customFormat="1" ht="0.95" customHeight="1" thickTop="1" x14ac:dyDescent="0.25">
      <c r="A814" s="411"/>
      <c r="B814" s="411"/>
      <c r="C814" s="411"/>
      <c r="D814" s="411"/>
      <c r="E814" s="411"/>
      <c r="F814" s="411"/>
      <c r="G814" s="411"/>
      <c r="H814" s="411"/>
      <c r="I814" s="411"/>
      <c r="J814" s="411"/>
    </row>
    <row r="815" spans="1:10" s="296" customFormat="1" ht="18" customHeight="1" x14ac:dyDescent="0.25">
      <c r="A815" s="412"/>
      <c r="B815" s="413" t="s">
        <v>67</v>
      </c>
      <c r="C815" s="412" t="s">
        <v>68</v>
      </c>
      <c r="D815" s="412" t="s">
        <v>1</v>
      </c>
      <c r="E815" s="457" t="s">
        <v>110</v>
      </c>
      <c r="F815" s="457"/>
      <c r="G815" s="414" t="s">
        <v>2</v>
      </c>
      <c r="H815" s="413" t="s">
        <v>3</v>
      </c>
      <c r="I815" s="413" t="s">
        <v>69</v>
      </c>
      <c r="J815" s="413" t="s">
        <v>45</v>
      </c>
    </row>
    <row r="816" spans="1:10" s="296" customFormat="1" ht="26.1" customHeight="1" x14ac:dyDescent="0.25">
      <c r="A816" s="394" t="s">
        <v>111</v>
      </c>
      <c r="B816" s="395" t="s">
        <v>250</v>
      </c>
      <c r="C816" s="394" t="s">
        <v>77</v>
      </c>
      <c r="D816" s="394" t="s">
        <v>251</v>
      </c>
      <c r="E816" s="458" t="s">
        <v>94</v>
      </c>
      <c r="F816" s="458"/>
      <c r="G816" s="396" t="s">
        <v>15</v>
      </c>
      <c r="H816" s="397">
        <v>1</v>
      </c>
      <c r="I816" s="398">
        <v>1.22</v>
      </c>
      <c r="J816" s="398">
        <v>1.22</v>
      </c>
    </row>
    <row r="817" spans="1:10" s="296" customFormat="1" ht="15" customHeight="1" x14ac:dyDescent="0.25">
      <c r="A817" s="457" t="s">
        <v>155</v>
      </c>
      <c r="B817" s="456" t="s">
        <v>67</v>
      </c>
      <c r="C817" s="457" t="s">
        <v>68</v>
      </c>
      <c r="D817" s="457" t="s">
        <v>156</v>
      </c>
      <c r="E817" s="456" t="s">
        <v>157</v>
      </c>
      <c r="F817" s="459" t="s">
        <v>158</v>
      </c>
      <c r="G817" s="456"/>
      <c r="H817" s="459" t="s">
        <v>159</v>
      </c>
      <c r="I817" s="456"/>
      <c r="J817" s="456" t="s">
        <v>160</v>
      </c>
    </row>
    <row r="818" spans="1:10" s="296" customFormat="1" ht="15" customHeight="1" x14ac:dyDescent="0.25">
      <c r="A818" s="456"/>
      <c r="B818" s="456"/>
      <c r="C818" s="456"/>
      <c r="D818" s="456"/>
      <c r="E818" s="456"/>
      <c r="F818" s="413" t="s">
        <v>161</v>
      </c>
      <c r="G818" s="413" t="s">
        <v>162</v>
      </c>
      <c r="H818" s="413" t="s">
        <v>161</v>
      </c>
      <c r="I818" s="413" t="s">
        <v>162</v>
      </c>
      <c r="J818" s="456"/>
    </row>
    <row r="819" spans="1:10" s="296" customFormat="1" ht="26.1" customHeight="1" x14ac:dyDescent="0.25">
      <c r="A819" s="404" t="s">
        <v>120</v>
      </c>
      <c r="B819" s="405" t="s">
        <v>232</v>
      </c>
      <c r="C819" s="404" t="s">
        <v>77</v>
      </c>
      <c r="D819" s="404" t="s">
        <v>233</v>
      </c>
      <c r="E819" s="407">
        <v>1</v>
      </c>
      <c r="F819" s="408">
        <v>1</v>
      </c>
      <c r="G819" s="408">
        <v>0</v>
      </c>
      <c r="H819" s="415">
        <v>179.4392</v>
      </c>
      <c r="I819" s="415">
        <v>77.369699999999995</v>
      </c>
      <c r="J819" s="415">
        <v>179.4392</v>
      </c>
    </row>
    <row r="820" spans="1:10" s="296" customFormat="1" ht="20.100000000000001" customHeight="1" x14ac:dyDescent="0.25">
      <c r="A820" s="454"/>
      <c r="B820" s="454"/>
      <c r="C820" s="454"/>
      <c r="D820" s="454"/>
      <c r="E820" s="454"/>
      <c r="F820" s="454" t="s">
        <v>163</v>
      </c>
      <c r="G820" s="454"/>
      <c r="H820" s="454"/>
      <c r="I820" s="454"/>
      <c r="J820" s="416">
        <v>179.4392</v>
      </c>
    </row>
    <row r="821" spans="1:10" s="296" customFormat="1" ht="20.100000000000001" customHeight="1" x14ac:dyDescent="0.25">
      <c r="A821" s="454"/>
      <c r="B821" s="454"/>
      <c r="C821" s="454"/>
      <c r="D821" s="454"/>
      <c r="E821" s="454"/>
      <c r="F821" s="454" t="s">
        <v>169</v>
      </c>
      <c r="G821" s="454"/>
      <c r="H821" s="454"/>
      <c r="I821" s="454"/>
      <c r="J821" s="416">
        <v>179.4392</v>
      </c>
    </row>
    <row r="822" spans="1:10" s="296" customFormat="1" ht="20.100000000000001" customHeight="1" x14ac:dyDescent="0.25">
      <c r="A822" s="454"/>
      <c r="B822" s="454"/>
      <c r="C822" s="454"/>
      <c r="D822" s="454"/>
      <c r="E822" s="454"/>
      <c r="F822" s="454" t="s">
        <v>170</v>
      </c>
      <c r="G822" s="454"/>
      <c r="H822" s="454"/>
      <c r="I822" s="454"/>
      <c r="J822" s="416">
        <v>1.43E-2</v>
      </c>
    </row>
    <row r="823" spans="1:10" s="296" customFormat="1" ht="20.100000000000001" customHeight="1" x14ac:dyDescent="0.25">
      <c r="A823" s="454"/>
      <c r="B823" s="454"/>
      <c r="C823" s="454"/>
      <c r="D823" s="454"/>
      <c r="E823" s="454"/>
      <c r="F823" s="454" t="s">
        <v>171</v>
      </c>
      <c r="G823" s="454"/>
      <c r="H823" s="454"/>
      <c r="I823" s="454"/>
      <c r="J823" s="416">
        <v>1.7100000000000001E-2</v>
      </c>
    </row>
    <row r="824" spans="1:10" s="296" customFormat="1" ht="20.100000000000001" customHeight="1" x14ac:dyDescent="0.25">
      <c r="A824" s="454"/>
      <c r="B824" s="454"/>
      <c r="C824" s="454"/>
      <c r="D824" s="454"/>
      <c r="E824" s="454"/>
      <c r="F824" s="454" t="s">
        <v>172</v>
      </c>
      <c r="G824" s="454"/>
      <c r="H824" s="454"/>
      <c r="I824" s="454"/>
      <c r="J824" s="416">
        <v>149.4</v>
      </c>
    </row>
    <row r="825" spans="1:10" s="296" customFormat="1" ht="20.100000000000001" customHeight="1" x14ac:dyDescent="0.25">
      <c r="A825" s="454"/>
      <c r="B825" s="454"/>
      <c r="C825" s="454"/>
      <c r="D825" s="454"/>
      <c r="E825" s="454"/>
      <c r="F825" s="454" t="s">
        <v>173</v>
      </c>
      <c r="G825" s="454"/>
      <c r="H825" s="454"/>
      <c r="I825" s="454"/>
      <c r="J825" s="416">
        <v>1.2011000000000001</v>
      </c>
    </row>
    <row r="826" spans="1:10" s="296" customFormat="1" ht="15" x14ac:dyDescent="0.25">
      <c r="A826" s="409"/>
      <c r="B826" s="409"/>
      <c r="C826" s="409"/>
      <c r="D826" s="409"/>
      <c r="E826" s="409"/>
      <c r="F826" s="410"/>
      <c r="G826" s="409"/>
      <c r="H826" s="410"/>
      <c r="I826" s="409"/>
      <c r="J826" s="410"/>
    </row>
    <row r="827" spans="1:10" s="296" customFormat="1" ht="15.75" thickBot="1" x14ac:dyDescent="0.3">
      <c r="A827" s="409"/>
      <c r="B827" s="409"/>
      <c r="C827" s="409"/>
      <c r="D827" s="409"/>
      <c r="E827" s="409" t="s">
        <v>116</v>
      </c>
      <c r="F827" s="410">
        <v>0.28000000000000003</v>
      </c>
      <c r="G827" s="409"/>
      <c r="H827" s="455" t="s">
        <v>117</v>
      </c>
      <c r="I827" s="455"/>
      <c r="J827" s="410">
        <v>1.5</v>
      </c>
    </row>
    <row r="828" spans="1:10" s="296" customFormat="1" ht="0.95" customHeight="1" thickTop="1" x14ac:dyDescent="0.25">
      <c r="A828" s="411"/>
      <c r="B828" s="411"/>
      <c r="C828" s="411"/>
      <c r="D828" s="411"/>
      <c r="E828" s="411"/>
      <c r="F828" s="411"/>
      <c r="G828" s="411"/>
      <c r="H828" s="411"/>
      <c r="I828" s="411"/>
      <c r="J828" s="411"/>
    </row>
    <row r="829" spans="1:10" s="296" customFormat="1" ht="18" customHeight="1" x14ac:dyDescent="0.25">
      <c r="A829" s="412"/>
      <c r="B829" s="413" t="s">
        <v>67</v>
      </c>
      <c r="C829" s="412" t="s">
        <v>68</v>
      </c>
      <c r="D829" s="412" t="s">
        <v>1</v>
      </c>
      <c r="E829" s="457" t="s">
        <v>110</v>
      </c>
      <c r="F829" s="457"/>
      <c r="G829" s="414" t="s">
        <v>2</v>
      </c>
      <c r="H829" s="413" t="s">
        <v>3</v>
      </c>
      <c r="I829" s="413" t="s">
        <v>69</v>
      </c>
      <c r="J829" s="413" t="s">
        <v>45</v>
      </c>
    </row>
    <row r="830" spans="1:10" s="296" customFormat="1" ht="26.1" customHeight="1" x14ac:dyDescent="0.25">
      <c r="A830" s="394" t="s">
        <v>111</v>
      </c>
      <c r="B830" s="395" t="s">
        <v>252</v>
      </c>
      <c r="C830" s="394" t="s">
        <v>77</v>
      </c>
      <c r="D830" s="394" t="s">
        <v>253</v>
      </c>
      <c r="E830" s="458" t="s">
        <v>94</v>
      </c>
      <c r="F830" s="458"/>
      <c r="G830" s="396" t="s">
        <v>15</v>
      </c>
      <c r="H830" s="397">
        <v>1</v>
      </c>
      <c r="I830" s="398">
        <v>0.97</v>
      </c>
      <c r="J830" s="398">
        <v>0.97</v>
      </c>
    </row>
    <row r="831" spans="1:10" s="296" customFormat="1" ht="15" customHeight="1" x14ac:dyDescent="0.25">
      <c r="A831" s="457" t="s">
        <v>155</v>
      </c>
      <c r="B831" s="456" t="s">
        <v>67</v>
      </c>
      <c r="C831" s="457" t="s">
        <v>68</v>
      </c>
      <c r="D831" s="457" t="s">
        <v>156</v>
      </c>
      <c r="E831" s="456" t="s">
        <v>157</v>
      </c>
      <c r="F831" s="459" t="s">
        <v>158</v>
      </c>
      <c r="G831" s="456"/>
      <c r="H831" s="459" t="s">
        <v>159</v>
      </c>
      <c r="I831" s="456"/>
      <c r="J831" s="456" t="s">
        <v>160</v>
      </c>
    </row>
    <row r="832" spans="1:10" s="296" customFormat="1" ht="15" customHeight="1" x14ac:dyDescent="0.25">
      <c r="A832" s="456"/>
      <c r="B832" s="456"/>
      <c r="C832" s="456"/>
      <c r="D832" s="456"/>
      <c r="E832" s="456"/>
      <c r="F832" s="413" t="s">
        <v>161</v>
      </c>
      <c r="G832" s="413" t="s">
        <v>162</v>
      </c>
      <c r="H832" s="413" t="s">
        <v>161</v>
      </c>
      <c r="I832" s="413" t="s">
        <v>162</v>
      </c>
      <c r="J832" s="456"/>
    </row>
    <row r="833" spans="1:10" s="296" customFormat="1" ht="26.1" customHeight="1" x14ac:dyDescent="0.25">
      <c r="A833" s="404" t="s">
        <v>120</v>
      </c>
      <c r="B833" s="405" t="s">
        <v>232</v>
      </c>
      <c r="C833" s="404" t="s">
        <v>77</v>
      </c>
      <c r="D833" s="404" t="s">
        <v>233</v>
      </c>
      <c r="E833" s="407">
        <v>1</v>
      </c>
      <c r="F833" s="408">
        <v>1</v>
      </c>
      <c r="G833" s="408">
        <v>0</v>
      </c>
      <c r="H833" s="415">
        <v>179.4392</v>
      </c>
      <c r="I833" s="415">
        <v>77.369699999999995</v>
      </c>
      <c r="J833" s="415">
        <v>179.4392</v>
      </c>
    </row>
    <row r="834" spans="1:10" s="296" customFormat="1" ht="20.100000000000001" customHeight="1" x14ac:dyDescent="0.25">
      <c r="A834" s="454"/>
      <c r="B834" s="454"/>
      <c r="C834" s="454"/>
      <c r="D834" s="454"/>
      <c r="E834" s="454"/>
      <c r="F834" s="454" t="s">
        <v>163</v>
      </c>
      <c r="G834" s="454"/>
      <c r="H834" s="454"/>
      <c r="I834" s="454"/>
      <c r="J834" s="416">
        <v>179.4392</v>
      </c>
    </row>
    <row r="835" spans="1:10" s="296" customFormat="1" ht="20.100000000000001" customHeight="1" x14ac:dyDescent="0.25">
      <c r="A835" s="454"/>
      <c r="B835" s="454"/>
      <c r="C835" s="454"/>
      <c r="D835" s="454"/>
      <c r="E835" s="454"/>
      <c r="F835" s="454" t="s">
        <v>169</v>
      </c>
      <c r="G835" s="454"/>
      <c r="H835" s="454"/>
      <c r="I835" s="454"/>
      <c r="J835" s="416">
        <v>179.4392</v>
      </c>
    </row>
    <row r="836" spans="1:10" s="296" customFormat="1" ht="20.100000000000001" customHeight="1" x14ac:dyDescent="0.25">
      <c r="A836" s="454"/>
      <c r="B836" s="454"/>
      <c r="C836" s="454"/>
      <c r="D836" s="454"/>
      <c r="E836" s="454"/>
      <c r="F836" s="454" t="s">
        <v>170</v>
      </c>
      <c r="G836" s="454"/>
      <c r="H836" s="454"/>
      <c r="I836" s="454"/>
      <c r="J836" s="416">
        <v>1.43E-2</v>
      </c>
    </row>
    <row r="837" spans="1:10" s="296" customFormat="1" ht="20.100000000000001" customHeight="1" x14ac:dyDescent="0.25">
      <c r="A837" s="454"/>
      <c r="B837" s="454"/>
      <c r="C837" s="454"/>
      <c r="D837" s="454"/>
      <c r="E837" s="454"/>
      <c r="F837" s="454" t="s">
        <v>171</v>
      </c>
      <c r="G837" s="454"/>
      <c r="H837" s="454"/>
      <c r="I837" s="454"/>
      <c r="J837" s="416">
        <v>1.37E-2</v>
      </c>
    </row>
    <row r="838" spans="1:10" s="296" customFormat="1" ht="20.100000000000001" customHeight="1" x14ac:dyDescent="0.25">
      <c r="A838" s="454"/>
      <c r="B838" s="454"/>
      <c r="C838" s="454"/>
      <c r="D838" s="454"/>
      <c r="E838" s="454"/>
      <c r="F838" s="454" t="s">
        <v>172</v>
      </c>
      <c r="G838" s="454"/>
      <c r="H838" s="454"/>
      <c r="I838" s="454"/>
      <c r="J838" s="416">
        <v>186.75</v>
      </c>
    </row>
    <row r="839" spans="1:10" s="296" customFormat="1" ht="20.100000000000001" customHeight="1" x14ac:dyDescent="0.25">
      <c r="A839" s="454"/>
      <c r="B839" s="454"/>
      <c r="C839" s="454"/>
      <c r="D839" s="454"/>
      <c r="E839" s="454"/>
      <c r="F839" s="454" t="s">
        <v>173</v>
      </c>
      <c r="G839" s="454"/>
      <c r="H839" s="454"/>
      <c r="I839" s="454"/>
      <c r="J839" s="416">
        <v>0.96089999999999998</v>
      </c>
    </row>
    <row r="840" spans="1:10" s="296" customFormat="1" ht="15" x14ac:dyDescent="0.25">
      <c r="A840" s="409"/>
      <c r="B840" s="409"/>
      <c r="C840" s="409"/>
      <c r="D840" s="409"/>
      <c r="E840" s="409"/>
      <c r="F840" s="410"/>
      <c r="G840" s="409"/>
      <c r="H840" s="410"/>
      <c r="I840" s="409"/>
      <c r="J840" s="410"/>
    </row>
    <row r="841" spans="1:10" s="296" customFormat="1" ht="15.75" thickBot="1" x14ac:dyDescent="0.3">
      <c r="A841" s="409"/>
      <c r="B841" s="409"/>
      <c r="C841" s="409"/>
      <c r="D841" s="409"/>
      <c r="E841" s="409" t="s">
        <v>116</v>
      </c>
      <c r="F841" s="410">
        <v>0.22</v>
      </c>
      <c r="G841" s="409"/>
      <c r="H841" s="455" t="s">
        <v>117</v>
      </c>
      <c r="I841" s="455"/>
      <c r="J841" s="410">
        <v>1.19</v>
      </c>
    </row>
    <row r="842" spans="1:10" s="296" customFormat="1" ht="0.95" customHeight="1" thickTop="1" x14ac:dyDescent="0.25">
      <c r="A842" s="411"/>
      <c r="B842" s="411"/>
      <c r="C842" s="411"/>
      <c r="D842" s="411"/>
      <c r="E842" s="411"/>
      <c r="F842" s="411"/>
      <c r="G842" s="411"/>
      <c r="H842" s="411"/>
      <c r="I842" s="411"/>
      <c r="J842" s="411"/>
    </row>
    <row r="843" spans="1:10" s="296" customFormat="1" ht="18" customHeight="1" x14ac:dyDescent="0.25">
      <c r="A843" s="412"/>
      <c r="B843" s="413" t="s">
        <v>67</v>
      </c>
      <c r="C843" s="412" t="s">
        <v>68</v>
      </c>
      <c r="D843" s="412" t="s">
        <v>1</v>
      </c>
      <c r="E843" s="457" t="s">
        <v>110</v>
      </c>
      <c r="F843" s="457"/>
      <c r="G843" s="414" t="s">
        <v>2</v>
      </c>
      <c r="H843" s="413" t="s">
        <v>3</v>
      </c>
      <c r="I843" s="413" t="s">
        <v>69</v>
      </c>
      <c r="J843" s="413" t="s">
        <v>45</v>
      </c>
    </row>
    <row r="844" spans="1:10" s="296" customFormat="1" ht="26.1" customHeight="1" x14ac:dyDescent="0.25">
      <c r="A844" s="394" t="s">
        <v>111</v>
      </c>
      <c r="B844" s="395" t="s">
        <v>565</v>
      </c>
      <c r="C844" s="394" t="s">
        <v>77</v>
      </c>
      <c r="D844" s="394" t="s">
        <v>566</v>
      </c>
      <c r="E844" s="458" t="s">
        <v>94</v>
      </c>
      <c r="F844" s="458"/>
      <c r="G844" s="396" t="s">
        <v>15</v>
      </c>
      <c r="H844" s="397">
        <v>1</v>
      </c>
      <c r="I844" s="398">
        <v>0.8</v>
      </c>
      <c r="J844" s="398">
        <v>0.8</v>
      </c>
    </row>
    <row r="845" spans="1:10" s="296" customFormat="1" ht="15" customHeight="1" x14ac:dyDescent="0.25">
      <c r="A845" s="457" t="s">
        <v>155</v>
      </c>
      <c r="B845" s="456" t="s">
        <v>67</v>
      </c>
      <c r="C845" s="457" t="s">
        <v>68</v>
      </c>
      <c r="D845" s="457" t="s">
        <v>156</v>
      </c>
      <c r="E845" s="456" t="s">
        <v>157</v>
      </c>
      <c r="F845" s="459" t="s">
        <v>158</v>
      </c>
      <c r="G845" s="456"/>
      <c r="H845" s="459" t="s">
        <v>159</v>
      </c>
      <c r="I845" s="456"/>
      <c r="J845" s="456" t="s">
        <v>160</v>
      </c>
    </row>
    <row r="846" spans="1:10" s="296" customFormat="1" ht="15" customHeight="1" x14ac:dyDescent="0.25">
      <c r="A846" s="456"/>
      <c r="B846" s="456"/>
      <c r="C846" s="456"/>
      <c r="D846" s="456"/>
      <c r="E846" s="456"/>
      <c r="F846" s="413" t="s">
        <v>161</v>
      </c>
      <c r="G846" s="413" t="s">
        <v>162</v>
      </c>
      <c r="H846" s="413" t="s">
        <v>161</v>
      </c>
      <c r="I846" s="413" t="s">
        <v>162</v>
      </c>
      <c r="J846" s="456"/>
    </row>
    <row r="847" spans="1:10" s="296" customFormat="1" ht="26.1" customHeight="1" x14ac:dyDescent="0.25">
      <c r="A847" s="404" t="s">
        <v>120</v>
      </c>
      <c r="B847" s="405" t="s">
        <v>232</v>
      </c>
      <c r="C847" s="404" t="s">
        <v>77</v>
      </c>
      <c r="D847" s="404" t="s">
        <v>233</v>
      </c>
      <c r="E847" s="407">
        <v>1</v>
      </c>
      <c r="F847" s="408">
        <v>1</v>
      </c>
      <c r="G847" s="408">
        <v>0</v>
      </c>
      <c r="H847" s="415">
        <v>179.4392</v>
      </c>
      <c r="I847" s="415">
        <v>77.369699999999995</v>
      </c>
      <c r="J847" s="415">
        <v>179.4392</v>
      </c>
    </row>
    <row r="848" spans="1:10" s="296" customFormat="1" ht="20.100000000000001" customHeight="1" x14ac:dyDescent="0.25">
      <c r="A848" s="454"/>
      <c r="B848" s="454"/>
      <c r="C848" s="454"/>
      <c r="D848" s="454"/>
      <c r="E848" s="454"/>
      <c r="F848" s="454" t="s">
        <v>163</v>
      </c>
      <c r="G848" s="454"/>
      <c r="H848" s="454"/>
      <c r="I848" s="454"/>
      <c r="J848" s="416">
        <v>179.4392</v>
      </c>
    </row>
    <row r="849" spans="1:10" s="296" customFormat="1" ht="20.100000000000001" customHeight="1" x14ac:dyDescent="0.25">
      <c r="A849" s="454"/>
      <c r="B849" s="454"/>
      <c r="C849" s="454"/>
      <c r="D849" s="454"/>
      <c r="E849" s="454"/>
      <c r="F849" s="454" t="s">
        <v>169</v>
      </c>
      <c r="G849" s="454"/>
      <c r="H849" s="454"/>
      <c r="I849" s="454"/>
      <c r="J849" s="416">
        <v>179.4392</v>
      </c>
    </row>
    <row r="850" spans="1:10" s="296" customFormat="1" ht="20.100000000000001" customHeight="1" x14ac:dyDescent="0.25">
      <c r="A850" s="454"/>
      <c r="B850" s="454"/>
      <c r="C850" s="454"/>
      <c r="D850" s="454"/>
      <c r="E850" s="454"/>
      <c r="F850" s="454" t="s">
        <v>170</v>
      </c>
      <c r="G850" s="454"/>
      <c r="H850" s="454"/>
      <c r="I850" s="454"/>
      <c r="J850" s="416">
        <v>0</v>
      </c>
    </row>
    <row r="851" spans="1:10" s="296" customFormat="1" ht="20.100000000000001" customHeight="1" x14ac:dyDescent="0.25">
      <c r="A851" s="454"/>
      <c r="B851" s="454"/>
      <c r="C851" s="454"/>
      <c r="D851" s="454"/>
      <c r="E851" s="454"/>
      <c r="F851" s="454" t="s">
        <v>171</v>
      </c>
      <c r="G851" s="454"/>
      <c r="H851" s="454"/>
      <c r="I851" s="454"/>
      <c r="J851" s="416">
        <v>0</v>
      </c>
    </row>
    <row r="852" spans="1:10" s="296" customFormat="1" ht="20.100000000000001" customHeight="1" x14ac:dyDescent="0.25">
      <c r="A852" s="454"/>
      <c r="B852" s="454"/>
      <c r="C852" s="454"/>
      <c r="D852" s="454"/>
      <c r="E852" s="454"/>
      <c r="F852" s="454" t="s">
        <v>172</v>
      </c>
      <c r="G852" s="454"/>
      <c r="H852" s="454"/>
      <c r="I852" s="454"/>
      <c r="J852" s="416">
        <v>224.1</v>
      </c>
    </row>
    <row r="853" spans="1:10" s="296" customFormat="1" ht="20.100000000000001" customHeight="1" x14ac:dyDescent="0.25">
      <c r="A853" s="454"/>
      <c r="B853" s="454"/>
      <c r="C853" s="454"/>
      <c r="D853" s="454"/>
      <c r="E853" s="454"/>
      <c r="F853" s="454" t="s">
        <v>173</v>
      </c>
      <c r="G853" s="454"/>
      <c r="H853" s="454"/>
      <c r="I853" s="454"/>
      <c r="J853" s="416">
        <v>0.80069999999999997</v>
      </c>
    </row>
    <row r="854" spans="1:10" s="296" customFormat="1" ht="15" x14ac:dyDescent="0.25">
      <c r="A854" s="409"/>
      <c r="B854" s="409"/>
      <c r="C854" s="409"/>
      <c r="D854" s="409"/>
      <c r="E854" s="409"/>
      <c r="F854" s="410"/>
      <c r="G854" s="409"/>
      <c r="H854" s="410"/>
      <c r="I854" s="409"/>
      <c r="J854" s="410"/>
    </row>
    <row r="855" spans="1:10" s="296" customFormat="1" ht="15.75" thickBot="1" x14ac:dyDescent="0.3">
      <c r="A855" s="409"/>
      <c r="B855" s="409"/>
      <c r="C855" s="409"/>
      <c r="D855" s="409"/>
      <c r="E855" s="409" t="s">
        <v>116</v>
      </c>
      <c r="F855" s="410">
        <v>0.18</v>
      </c>
      <c r="G855" s="409"/>
      <c r="H855" s="455" t="s">
        <v>117</v>
      </c>
      <c r="I855" s="455"/>
      <c r="J855" s="410">
        <v>0.98</v>
      </c>
    </row>
    <row r="856" spans="1:10" s="296" customFormat="1" ht="0.95" customHeight="1" thickTop="1" x14ac:dyDescent="0.25">
      <c r="A856" s="411"/>
      <c r="B856" s="411"/>
      <c r="C856" s="411"/>
      <c r="D856" s="411"/>
      <c r="E856" s="411"/>
      <c r="F856" s="411"/>
      <c r="G856" s="411"/>
      <c r="H856" s="411"/>
      <c r="I856" s="411"/>
      <c r="J856" s="411"/>
    </row>
    <row r="857" spans="1:10" s="296" customFormat="1" ht="18" customHeight="1" x14ac:dyDescent="0.25">
      <c r="A857" s="412"/>
      <c r="B857" s="413" t="s">
        <v>67</v>
      </c>
      <c r="C857" s="412" t="s">
        <v>68</v>
      </c>
      <c r="D857" s="412" t="s">
        <v>1</v>
      </c>
      <c r="E857" s="457" t="s">
        <v>110</v>
      </c>
      <c r="F857" s="457"/>
      <c r="G857" s="414" t="s">
        <v>2</v>
      </c>
      <c r="H857" s="413" t="s">
        <v>3</v>
      </c>
      <c r="I857" s="413" t="s">
        <v>69</v>
      </c>
      <c r="J857" s="413" t="s">
        <v>45</v>
      </c>
    </row>
    <row r="858" spans="1:10" s="296" customFormat="1" ht="26.1" customHeight="1" x14ac:dyDescent="0.25">
      <c r="A858" s="394" t="s">
        <v>111</v>
      </c>
      <c r="B858" s="395" t="s">
        <v>389</v>
      </c>
      <c r="C858" s="394" t="s">
        <v>77</v>
      </c>
      <c r="D858" s="394" t="s">
        <v>390</v>
      </c>
      <c r="E858" s="458" t="s">
        <v>94</v>
      </c>
      <c r="F858" s="458"/>
      <c r="G858" s="396" t="s">
        <v>15</v>
      </c>
      <c r="H858" s="397">
        <v>1</v>
      </c>
      <c r="I858" s="398">
        <v>1.01</v>
      </c>
      <c r="J858" s="398">
        <v>1.01</v>
      </c>
    </row>
    <row r="859" spans="1:10" s="296" customFormat="1" ht="15" customHeight="1" x14ac:dyDescent="0.25">
      <c r="A859" s="457" t="s">
        <v>155</v>
      </c>
      <c r="B859" s="456" t="s">
        <v>67</v>
      </c>
      <c r="C859" s="457" t="s">
        <v>68</v>
      </c>
      <c r="D859" s="457" t="s">
        <v>156</v>
      </c>
      <c r="E859" s="456" t="s">
        <v>157</v>
      </c>
      <c r="F859" s="459" t="s">
        <v>158</v>
      </c>
      <c r="G859" s="456"/>
      <c r="H859" s="459" t="s">
        <v>159</v>
      </c>
      <c r="I859" s="456"/>
      <c r="J859" s="456" t="s">
        <v>160</v>
      </c>
    </row>
    <row r="860" spans="1:10" s="296" customFormat="1" ht="15" customHeight="1" x14ac:dyDescent="0.25">
      <c r="A860" s="456"/>
      <c r="B860" s="456"/>
      <c r="C860" s="456"/>
      <c r="D860" s="456"/>
      <c r="E860" s="456"/>
      <c r="F860" s="413" t="s">
        <v>161</v>
      </c>
      <c r="G860" s="413" t="s">
        <v>162</v>
      </c>
      <c r="H860" s="413" t="s">
        <v>161</v>
      </c>
      <c r="I860" s="413" t="s">
        <v>162</v>
      </c>
      <c r="J860" s="456"/>
    </row>
    <row r="861" spans="1:10" s="296" customFormat="1" ht="26.1" customHeight="1" x14ac:dyDescent="0.25">
      <c r="A861" s="404" t="s">
        <v>120</v>
      </c>
      <c r="B861" s="405" t="s">
        <v>344</v>
      </c>
      <c r="C861" s="404" t="s">
        <v>77</v>
      </c>
      <c r="D861" s="404" t="s">
        <v>345</v>
      </c>
      <c r="E861" s="407">
        <v>1</v>
      </c>
      <c r="F861" s="408">
        <v>1</v>
      </c>
      <c r="G861" s="408">
        <v>0</v>
      </c>
      <c r="H861" s="415">
        <v>247.93629999999999</v>
      </c>
      <c r="I861" s="415">
        <v>84.012900000000002</v>
      </c>
      <c r="J861" s="415">
        <v>247.93629999999999</v>
      </c>
    </row>
    <row r="862" spans="1:10" s="296" customFormat="1" ht="20.100000000000001" customHeight="1" x14ac:dyDescent="0.25">
      <c r="A862" s="454"/>
      <c r="B862" s="454"/>
      <c r="C862" s="454"/>
      <c r="D862" s="454"/>
      <c r="E862" s="454"/>
      <c r="F862" s="454" t="s">
        <v>163</v>
      </c>
      <c r="G862" s="454"/>
      <c r="H862" s="454"/>
      <c r="I862" s="454"/>
      <c r="J862" s="416">
        <v>247.93629999999999</v>
      </c>
    </row>
    <row r="863" spans="1:10" s="296" customFormat="1" ht="20.100000000000001" customHeight="1" x14ac:dyDescent="0.25">
      <c r="A863" s="454"/>
      <c r="B863" s="454"/>
      <c r="C863" s="454"/>
      <c r="D863" s="454"/>
      <c r="E863" s="454"/>
      <c r="F863" s="454" t="s">
        <v>169</v>
      </c>
      <c r="G863" s="454"/>
      <c r="H863" s="454"/>
      <c r="I863" s="454"/>
      <c r="J863" s="416">
        <v>247.93629999999999</v>
      </c>
    </row>
    <row r="864" spans="1:10" s="296" customFormat="1" ht="20.100000000000001" customHeight="1" x14ac:dyDescent="0.25">
      <c r="A864" s="454"/>
      <c r="B864" s="454"/>
      <c r="C864" s="454"/>
      <c r="D864" s="454"/>
      <c r="E864" s="454"/>
      <c r="F864" s="454" t="s">
        <v>170</v>
      </c>
      <c r="G864" s="454"/>
      <c r="H864" s="454"/>
      <c r="I864" s="454"/>
      <c r="J864" s="416">
        <v>1.43E-2</v>
      </c>
    </row>
    <row r="865" spans="1:10" s="296" customFormat="1" ht="20.100000000000001" customHeight="1" x14ac:dyDescent="0.25">
      <c r="A865" s="454"/>
      <c r="B865" s="454"/>
      <c r="C865" s="454"/>
      <c r="D865" s="454"/>
      <c r="E865" s="454"/>
      <c r="F865" s="454" t="s">
        <v>171</v>
      </c>
      <c r="G865" s="454"/>
      <c r="H865" s="454"/>
      <c r="I865" s="454"/>
      <c r="J865" s="416">
        <v>1.4200000000000001E-2</v>
      </c>
    </row>
    <row r="866" spans="1:10" s="296" customFormat="1" ht="20.100000000000001" customHeight="1" x14ac:dyDescent="0.25">
      <c r="A866" s="454"/>
      <c r="B866" s="454"/>
      <c r="C866" s="454"/>
      <c r="D866" s="454"/>
      <c r="E866" s="454"/>
      <c r="F866" s="454" t="s">
        <v>172</v>
      </c>
      <c r="G866" s="454"/>
      <c r="H866" s="454"/>
      <c r="I866" s="454"/>
      <c r="J866" s="416">
        <v>248.59</v>
      </c>
    </row>
    <row r="867" spans="1:10" s="296" customFormat="1" ht="20.100000000000001" customHeight="1" x14ac:dyDescent="0.25">
      <c r="A867" s="454"/>
      <c r="B867" s="454"/>
      <c r="C867" s="454"/>
      <c r="D867" s="454"/>
      <c r="E867" s="454"/>
      <c r="F867" s="454" t="s">
        <v>173</v>
      </c>
      <c r="G867" s="454"/>
      <c r="H867" s="454"/>
      <c r="I867" s="454"/>
      <c r="J867" s="416">
        <v>0.99739999999999995</v>
      </c>
    </row>
    <row r="868" spans="1:10" s="296" customFormat="1" ht="15" x14ac:dyDescent="0.25">
      <c r="A868" s="409"/>
      <c r="B868" s="409"/>
      <c r="C868" s="409"/>
      <c r="D868" s="409"/>
      <c r="E868" s="409"/>
      <c r="F868" s="410"/>
      <c r="G868" s="409"/>
      <c r="H868" s="410"/>
      <c r="I868" s="409"/>
      <c r="J868" s="410"/>
    </row>
    <row r="869" spans="1:10" s="296" customFormat="1" ht="15.75" thickBot="1" x14ac:dyDescent="0.3">
      <c r="A869" s="409"/>
      <c r="B869" s="409"/>
      <c r="C869" s="409"/>
      <c r="D869" s="409"/>
      <c r="E869" s="409" t="s">
        <v>116</v>
      </c>
      <c r="F869" s="410">
        <v>0.23</v>
      </c>
      <c r="G869" s="409"/>
      <c r="H869" s="455" t="s">
        <v>117</v>
      </c>
      <c r="I869" s="455"/>
      <c r="J869" s="410">
        <v>1.24</v>
      </c>
    </row>
    <row r="870" spans="1:10" s="296" customFormat="1" ht="0.95" customHeight="1" thickTop="1" x14ac:dyDescent="0.25">
      <c r="A870" s="411"/>
      <c r="B870" s="411"/>
      <c r="C870" s="411"/>
      <c r="D870" s="411"/>
      <c r="E870" s="411"/>
      <c r="F870" s="411"/>
      <c r="G870" s="411"/>
      <c r="H870" s="411"/>
      <c r="I870" s="411"/>
      <c r="J870" s="411"/>
    </row>
    <row r="871" spans="1:10" s="296" customFormat="1" ht="18" customHeight="1" x14ac:dyDescent="0.25">
      <c r="A871" s="412"/>
      <c r="B871" s="413" t="s">
        <v>67</v>
      </c>
      <c r="C871" s="412" t="s">
        <v>68</v>
      </c>
      <c r="D871" s="412" t="s">
        <v>1</v>
      </c>
      <c r="E871" s="457" t="s">
        <v>110</v>
      </c>
      <c r="F871" s="457"/>
      <c r="G871" s="414" t="s">
        <v>2</v>
      </c>
      <c r="H871" s="413" t="s">
        <v>3</v>
      </c>
      <c r="I871" s="413" t="s">
        <v>69</v>
      </c>
      <c r="J871" s="413" t="s">
        <v>45</v>
      </c>
    </row>
    <row r="872" spans="1:10" s="296" customFormat="1" ht="26.1" customHeight="1" x14ac:dyDescent="0.25">
      <c r="A872" s="394" t="s">
        <v>111</v>
      </c>
      <c r="B872" s="395" t="s">
        <v>391</v>
      </c>
      <c r="C872" s="394" t="s">
        <v>77</v>
      </c>
      <c r="D872" s="394" t="s">
        <v>392</v>
      </c>
      <c r="E872" s="458" t="s">
        <v>94</v>
      </c>
      <c r="F872" s="458"/>
      <c r="G872" s="396" t="s">
        <v>15</v>
      </c>
      <c r="H872" s="397">
        <v>1</v>
      </c>
      <c r="I872" s="398">
        <v>0.81</v>
      </c>
      <c r="J872" s="398">
        <v>0.81</v>
      </c>
    </row>
    <row r="873" spans="1:10" s="296" customFormat="1" ht="15" customHeight="1" x14ac:dyDescent="0.25">
      <c r="A873" s="457" t="s">
        <v>155</v>
      </c>
      <c r="B873" s="456" t="s">
        <v>67</v>
      </c>
      <c r="C873" s="457" t="s">
        <v>68</v>
      </c>
      <c r="D873" s="457" t="s">
        <v>156</v>
      </c>
      <c r="E873" s="456" t="s">
        <v>157</v>
      </c>
      <c r="F873" s="459" t="s">
        <v>158</v>
      </c>
      <c r="G873" s="456"/>
      <c r="H873" s="459" t="s">
        <v>159</v>
      </c>
      <c r="I873" s="456"/>
      <c r="J873" s="456" t="s">
        <v>160</v>
      </c>
    </row>
    <row r="874" spans="1:10" s="296" customFormat="1" ht="15" customHeight="1" x14ac:dyDescent="0.25">
      <c r="A874" s="456"/>
      <c r="B874" s="456"/>
      <c r="C874" s="456"/>
      <c r="D874" s="456"/>
      <c r="E874" s="456"/>
      <c r="F874" s="413" t="s">
        <v>161</v>
      </c>
      <c r="G874" s="413" t="s">
        <v>162</v>
      </c>
      <c r="H874" s="413" t="s">
        <v>161</v>
      </c>
      <c r="I874" s="413" t="s">
        <v>162</v>
      </c>
      <c r="J874" s="456"/>
    </row>
    <row r="875" spans="1:10" s="296" customFormat="1" ht="26.1" customHeight="1" x14ac:dyDescent="0.25">
      <c r="A875" s="404" t="s">
        <v>120</v>
      </c>
      <c r="B875" s="405" t="s">
        <v>344</v>
      </c>
      <c r="C875" s="404" t="s">
        <v>77</v>
      </c>
      <c r="D875" s="404" t="s">
        <v>345</v>
      </c>
      <c r="E875" s="407">
        <v>1</v>
      </c>
      <c r="F875" s="408">
        <v>1</v>
      </c>
      <c r="G875" s="408">
        <v>0</v>
      </c>
      <c r="H875" s="415">
        <v>247.93629999999999</v>
      </c>
      <c r="I875" s="415">
        <v>84.012900000000002</v>
      </c>
      <c r="J875" s="415">
        <v>247.93629999999999</v>
      </c>
    </row>
    <row r="876" spans="1:10" s="296" customFormat="1" ht="20.100000000000001" customHeight="1" x14ac:dyDescent="0.25">
      <c r="A876" s="454"/>
      <c r="B876" s="454"/>
      <c r="C876" s="454"/>
      <c r="D876" s="454"/>
      <c r="E876" s="454"/>
      <c r="F876" s="454" t="s">
        <v>163</v>
      </c>
      <c r="G876" s="454"/>
      <c r="H876" s="454"/>
      <c r="I876" s="454"/>
      <c r="J876" s="416">
        <v>247.93629999999999</v>
      </c>
    </row>
    <row r="877" spans="1:10" s="296" customFormat="1" ht="20.100000000000001" customHeight="1" x14ac:dyDescent="0.25">
      <c r="A877" s="454"/>
      <c r="B877" s="454"/>
      <c r="C877" s="454"/>
      <c r="D877" s="454"/>
      <c r="E877" s="454"/>
      <c r="F877" s="454" t="s">
        <v>169</v>
      </c>
      <c r="G877" s="454"/>
      <c r="H877" s="454"/>
      <c r="I877" s="454"/>
      <c r="J877" s="416">
        <v>247.93629999999999</v>
      </c>
    </row>
    <row r="878" spans="1:10" s="296" customFormat="1" ht="20.100000000000001" customHeight="1" x14ac:dyDescent="0.25">
      <c r="A878" s="454"/>
      <c r="B878" s="454"/>
      <c r="C878" s="454"/>
      <c r="D878" s="454"/>
      <c r="E878" s="454"/>
      <c r="F878" s="454" t="s">
        <v>170</v>
      </c>
      <c r="G878" s="454"/>
      <c r="H878" s="454"/>
      <c r="I878" s="454"/>
      <c r="J878" s="416">
        <v>1.43E-2</v>
      </c>
    </row>
    <row r="879" spans="1:10" s="296" customFormat="1" ht="20.100000000000001" customHeight="1" x14ac:dyDescent="0.25">
      <c r="A879" s="454"/>
      <c r="B879" s="454"/>
      <c r="C879" s="454"/>
      <c r="D879" s="454"/>
      <c r="E879" s="454"/>
      <c r="F879" s="454" t="s">
        <v>171</v>
      </c>
      <c r="G879" s="454"/>
      <c r="H879" s="454"/>
      <c r="I879" s="454"/>
      <c r="J879" s="416">
        <v>1.14E-2</v>
      </c>
    </row>
    <row r="880" spans="1:10" s="296" customFormat="1" ht="20.100000000000001" customHeight="1" x14ac:dyDescent="0.25">
      <c r="A880" s="454"/>
      <c r="B880" s="454"/>
      <c r="C880" s="454"/>
      <c r="D880" s="454"/>
      <c r="E880" s="454"/>
      <c r="F880" s="454" t="s">
        <v>172</v>
      </c>
      <c r="G880" s="454"/>
      <c r="H880" s="454"/>
      <c r="I880" s="454"/>
      <c r="J880" s="416">
        <v>310.73</v>
      </c>
    </row>
    <row r="881" spans="1:10" s="296" customFormat="1" ht="20.100000000000001" customHeight="1" x14ac:dyDescent="0.25">
      <c r="A881" s="454"/>
      <c r="B881" s="454"/>
      <c r="C881" s="454"/>
      <c r="D881" s="454"/>
      <c r="E881" s="454"/>
      <c r="F881" s="454" t="s">
        <v>173</v>
      </c>
      <c r="G881" s="454"/>
      <c r="H881" s="454"/>
      <c r="I881" s="454"/>
      <c r="J881" s="416">
        <v>0.79790000000000005</v>
      </c>
    </row>
    <row r="882" spans="1:10" s="296" customFormat="1" ht="15" x14ac:dyDescent="0.25">
      <c r="A882" s="409"/>
      <c r="B882" s="409"/>
      <c r="C882" s="409"/>
      <c r="D882" s="409"/>
      <c r="E882" s="409"/>
      <c r="F882" s="410"/>
      <c r="G882" s="409"/>
      <c r="H882" s="410"/>
      <c r="I882" s="409"/>
      <c r="J882" s="410"/>
    </row>
    <row r="883" spans="1:10" s="296" customFormat="1" ht="15.75" thickBot="1" x14ac:dyDescent="0.3">
      <c r="A883" s="409"/>
      <c r="B883" s="409"/>
      <c r="C883" s="409"/>
      <c r="D883" s="409"/>
      <c r="E883" s="409" t="s">
        <v>116</v>
      </c>
      <c r="F883" s="410">
        <v>0.18</v>
      </c>
      <c r="G883" s="409"/>
      <c r="H883" s="455" t="s">
        <v>117</v>
      </c>
      <c r="I883" s="455"/>
      <c r="J883" s="410">
        <v>0.99</v>
      </c>
    </row>
    <row r="884" spans="1:10" s="296" customFormat="1" ht="0.95" customHeight="1" thickTop="1" x14ac:dyDescent="0.25">
      <c r="A884" s="411"/>
      <c r="B884" s="411"/>
      <c r="C884" s="411"/>
      <c r="D884" s="411"/>
      <c r="E884" s="411"/>
      <c r="F884" s="411"/>
      <c r="G884" s="411"/>
      <c r="H884" s="411"/>
      <c r="I884" s="411"/>
      <c r="J884" s="411"/>
    </row>
    <row r="885" spans="1:10" s="296" customFormat="1" ht="18" customHeight="1" x14ac:dyDescent="0.25">
      <c r="A885" s="412"/>
      <c r="B885" s="413" t="s">
        <v>67</v>
      </c>
      <c r="C885" s="412" t="s">
        <v>68</v>
      </c>
      <c r="D885" s="412" t="s">
        <v>1</v>
      </c>
      <c r="E885" s="457" t="s">
        <v>110</v>
      </c>
      <c r="F885" s="457"/>
      <c r="G885" s="414" t="s">
        <v>2</v>
      </c>
      <c r="H885" s="413" t="s">
        <v>3</v>
      </c>
      <c r="I885" s="413" t="s">
        <v>69</v>
      </c>
      <c r="J885" s="413" t="s">
        <v>45</v>
      </c>
    </row>
    <row r="886" spans="1:10" s="296" customFormat="1" ht="26.1" customHeight="1" x14ac:dyDescent="0.25">
      <c r="A886" s="394" t="s">
        <v>111</v>
      </c>
      <c r="B886" s="395" t="s">
        <v>393</v>
      </c>
      <c r="C886" s="394" t="s">
        <v>77</v>
      </c>
      <c r="D886" s="394" t="s">
        <v>394</v>
      </c>
      <c r="E886" s="458" t="s">
        <v>94</v>
      </c>
      <c r="F886" s="458"/>
      <c r="G886" s="396" t="s">
        <v>15</v>
      </c>
      <c r="H886" s="397">
        <v>1</v>
      </c>
      <c r="I886" s="398">
        <v>0.66</v>
      </c>
      <c r="J886" s="398">
        <v>0.66</v>
      </c>
    </row>
    <row r="887" spans="1:10" s="296" customFormat="1" ht="15" customHeight="1" x14ac:dyDescent="0.25">
      <c r="A887" s="457" t="s">
        <v>155</v>
      </c>
      <c r="B887" s="456" t="s">
        <v>67</v>
      </c>
      <c r="C887" s="457" t="s">
        <v>68</v>
      </c>
      <c r="D887" s="457" t="s">
        <v>156</v>
      </c>
      <c r="E887" s="456" t="s">
        <v>157</v>
      </c>
      <c r="F887" s="459" t="s">
        <v>158</v>
      </c>
      <c r="G887" s="456"/>
      <c r="H887" s="459" t="s">
        <v>159</v>
      </c>
      <c r="I887" s="456"/>
      <c r="J887" s="456" t="s">
        <v>160</v>
      </c>
    </row>
    <row r="888" spans="1:10" s="296" customFormat="1" ht="15" customHeight="1" x14ac:dyDescent="0.25">
      <c r="A888" s="456"/>
      <c r="B888" s="456"/>
      <c r="C888" s="456"/>
      <c r="D888" s="456"/>
      <c r="E888" s="456"/>
      <c r="F888" s="413" t="s">
        <v>161</v>
      </c>
      <c r="G888" s="413" t="s">
        <v>162</v>
      </c>
      <c r="H888" s="413" t="s">
        <v>161</v>
      </c>
      <c r="I888" s="413" t="s">
        <v>162</v>
      </c>
      <c r="J888" s="456"/>
    </row>
    <row r="889" spans="1:10" s="296" customFormat="1" ht="26.1" customHeight="1" x14ac:dyDescent="0.25">
      <c r="A889" s="404" t="s">
        <v>120</v>
      </c>
      <c r="B889" s="405" t="s">
        <v>344</v>
      </c>
      <c r="C889" s="404" t="s">
        <v>77</v>
      </c>
      <c r="D889" s="404" t="s">
        <v>345</v>
      </c>
      <c r="E889" s="407">
        <v>1</v>
      </c>
      <c r="F889" s="408">
        <v>1</v>
      </c>
      <c r="G889" s="408">
        <v>0</v>
      </c>
      <c r="H889" s="415">
        <v>247.93629999999999</v>
      </c>
      <c r="I889" s="415">
        <v>84.012900000000002</v>
      </c>
      <c r="J889" s="415">
        <v>247.93629999999999</v>
      </c>
    </row>
    <row r="890" spans="1:10" s="296" customFormat="1" ht="20.100000000000001" customHeight="1" x14ac:dyDescent="0.25">
      <c r="A890" s="454"/>
      <c r="B890" s="454"/>
      <c r="C890" s="454"/>
      <c r="D890" s="454"/>
      <c r="E890" s="454"/>
      <c r="F890" s="454" t="s">
        <v>163</v>
      </c>
      <c r="G890" s="454"/>
      <c r="H890" s="454"/>
      <c r="I890" s="454"/>
      <c r="J890" s="416">
        <v>247.93629999999999</v>
      </c>
    </row>
    <row r="891" spans="1:10" s="296" customFormat="1" ht="20.100000000000001" customHeight="1" x14ac:dyDescent="0.25">
      <c r="A891" s="454"/>
      <c r="B891" s="454"/>
      <c r="C891" s="454"/>
      <c r="D891" s="454"/>
      <c r="E891" s="454"/>
      <c r="F891" s="454" t="s">
        <v>169</v>
      </c>
      <c r="G891" s="454"/>
      <c r="H891" s="454"/>
      <c r="I891" s="454"/>
      <c r="J891" s="416">
        <v>247.93629999999999</v>
      </c>
    </row>
    <row r="892" spans="1:10" s="296" customFormat="1" ht="20.100000000000001" customHeight="1" x14ac:dyDescent="0.25">
      <c r="A892" s="454"/>
      <c r="B892" s="454"/>
      <c r="C892" s="454"/>
      <c r="D892" s="454"/>
      <c r="E892" s="454"/>
      <c r="F892" s="454" t="s">
        <v>170</v>
      </c>
      <c r="G892" s="454"/>
      <c r="H892" s="454"/>
      <c r="I892" s="454"/>
      <c r="J892" s="416">
        <v>0</v>
      </c>
    </row>
    <row r="893" spans="1:10" s="296" customFormat="1" ht="20.100000000000001" customHeight="1" x14ac:dyDescent="0.25">
      <c r="A893" s="454"/>
      <c r="B893" s="454"/>
      <c r="C893" s="454"/>
      <c r="D893" s="454"/>
      <c r="E893" s="454"/>
      <c r="F893" s="454" t="s">
        <v>171</v>
      </c>
      <c r="G893" s="454"/>
      <c r="H893" s="454"/>
      <c r="I893" s="454"/>
      <c r="J893" s="416">
        <v>0</v>
      </c>
    </row>
    <row r="894" spans="1:10" s="296" customFormat="1" ht="20.100000000000001" customHeight="1" x14ac:dyDescent="0.25">
      <c r="A894" s="454"/>
      <c r="B894" s="454"/>
      <c r="C894" s="454"/>
      <c r="D894" s="454"/>
      <c r="E894" s="454"/>
      <c r="F894" s="454" t="s">
        <v>172</v>
      </c>
      <c r="G894" s="454"/>
      <c r="H894" s="454"/>
      <c r="I894" s="454"/>
      <c r="J894" s="416">
        <v>372.88</v>
      </c>
    </row>
    <row r="895" spans="1:10" s="296" customFormat="1" ht="20.100000000000001" customHeight="1" x14ac:dyDescent="0.25">
      <c r="A895" s="454"/>
      <c r="B895" s="454"/>
      <c r="C895" s="454"/>
      <c r="D895" s="454"/>
      <c r="E895" s="454"/>
      <c r="F895" s="454" t="s">
        <v>173</v>
      </c>
      <c r="G895" s="454"/>
      <c r="H895" s="454"/>
      <c r="I895" s="454"/>
      <c r="J895" s="416">
        <v>0.66490000000000005</v>
      </c>
    </row>
    <row r="896" spans="1:10" s="296" customFormat="1" ht="15" x14ac:dyDescent="0.25">
      <c r="A896" s="409"/>
      <c r="B896" s="409"/>
      <c r="C896" s="409"/>
      <c r="D896" s="409"/>
      <c r="E896" s="409"/>
      <c r="F896" s="410"/>
      <c r="G896" s="409"/>
      <c r="H896" s="410"/>
      <c r="I896" s="409"/>
      <c r="J896" s="410"/>
    </row>
    <row r="897" spans="1:10" s="296" customFormat="1" ht="15.75" thickBot="1" x14ac:dyDescent="0.3">
      <c r="A897" s="409"/>
      <c r="B897" s="409"/>
      <c r="C897" s="409"/>
      <c r="D897" s="409"/>
      <c r="E897" s="409" t="s">
        <v>116</v>
      </c>
      <c r="F897" s="410">
        <v>0.15</v>
      </c>
      <c r="G897" s="409"/>
      <c r="H897" s="455" t="s">
        <v>117</v>
      </c>
      <c r="I897" s="455"/>
      <c r="J897" s="410">
        <v>0.81</v>
      </c>
    </row>
    <row r="898" spans="1:10" s="296" customFormat="1" ht="0.95" customHeight="1" thickTop="1" x14ac:dyDescent="0.25">
      <c r="A898" s="411"/>
      <c r="B898" s="411"/>
      <c r="C898" s="411"/>
      <c r="D898" s="411"/>
      <c r="E898" s="411"/>
      <c r="F898" s="411"/>
      <c r="G898" s="411"/>
      <c r="H898" s="411"/>
      <c r="I898" s="411"/>
      <c r="J898" s="411"/>
    </row>
    <row r="899" spans="1:10" s="296" customFormat="1" ht="18" customHeight="1" x14ac:dyDescent="0.25">
      <c r="A899" s="412"/>
      <c r="B899" s="413" t="s">
        <v>67</v>
      </c>
      <c r="C899" s="412" t="s">
        <v>68</v>
      </c>
      <c r="D899" s="412" t="s">
        <v>1</v>
      </c>
      <c r="E899" s="457" t="s">
        <v>110</v>
      </c>
      <c r="F899" s="457"/>
      <c r="G899" s="414" t="s">
        <v>2</v>
      </c>
      <c r="H899" s="413" t="s">
        <v>3</v>
      </c>
      <c r="I899" s="413" t="s">
        <v>69</v>
      </c>
      <c r="J899" s="413" t="s">
        <v>45</v>
      </c>
    </row>
    <row r="900" spans="1:10" s="296" customFormat="1" ht="26.1" customHeight="1" x14ac:dyDescent="0.25">
      <c r="A900" s="394" t="s">
        <v>111</v>
      </c>
      <c r="B900" s="395" t="s">
        <v>114</v>
      </c>
      <c r="C900" s="394" t="s">
        <v>77</v>
      </c>
      <c r="D900" s="394" t="s">
        <v>115</v>
      </c>
      <c r="E900" s="458" t="s">
        <v>94</v>
      </c>
      <c r="F900" s="458"/>
      <c r="G900" s="396" t="s">
        <v>15</v>
      </c>
      <c r="H900" s="397">
        <v>1</v>
      </c>
      <c r="I900" s="398">
        <v>0.53</v>
      </c>
      <c r="J900" s="398">
        <v>0.53</v>
      </c>
    </row>
    <row r="901" spans="1:10" s="296" customFormat="1" ht="15" customHeight="1" x14ac:dyDescent="0.25">
      <c r="A901" s="457" t="s">
        <v>155</v>
      </c>
      <c r="B901" s="456" t="s">
        <v>67</v>
      </c>
      <c r="C901" s="457" t="s">
        <v>68</v>
      </c>
      <c r="D901" s="457" t="s">
        <v>156</v>
      </c>
      <c r="E901" s="456" t="s">
        <v>157</v>
      </c>
      <c r="F901" s="459" t="s">
        <v>158</v>
      </c>
      <c r="G901" s="456"/>
      <c r="H901" s="459" t="s">
        <v>159</v>
      </c>
      <c r="I901" s="456"/>
      <c r="J901" s="456" t="s">
        <v>160</v>
      </c>
    </row>
    <row r="902" spans="1:10" s="296" customFormat="1" ht="15" customHeight="1" x14ac:dyDescent="0.25">
      <c r="A902" s="456"/>
      <c r="B902" s="456"/>
      <c r="C902" s="456"/>
      <c r="D902" s="456"/>
      <c r="E902" s="456"/>
      <c r="F902" s="413" t="s">
        <v>161</v>
      </c>
      <c r="G902" s="413" t="s">
        <v>162</v>
      </c>
      <c r="H902" s="413" t="s">
        <v>161</v>
      </c>
      <c r="I902" s="413" t="s">
        <v>162</v>
      </c>
      <c r="J902" s="456"/>
    </row>
    <row r="903" spans="1:10" s="296" customFormat="1" ht="26.1" customHeight="1" x14ac:dyDescent="0.25">
      <c r="A903" s="404" t="s">
        <v>120</v>
      </c>
      <c r="B903" s="405" t="s">
        <v>254</v>
      </c>
      <c r="C903" s="404" t="s">
        <v>77</v>
      </c>
      <c r="D903" s="404" t="s">
        <v>255</v>
      </c>
      <c r="E903" s="407">
        <v>1</v>
      </c>
      <c r="F903" s="408">
        <v>1</v>
      </c>
      <c r="G903" s="408">
        <v>0</v>
      </c>
      <c r="H903" s="415">
        <v>384.53199999999998</v>
      </c>
      <c r="I903" s="415">
        <v>133.70679999999999</v>
      </c>
      <c r="J903" s="415">
        <v>384.53199999999998</v>
      </c>
    </row>
    <row r="904" spans="1:10" s="296" customFormat="1" ht="20.100000000000001" customHeight="1" x14ac:dyDescent="0.25">
      <c r="A904" s="454"/>
      <c r="B904" s="454"/>
      <c r="C904" s="454"/>
      <c r="D904" s="454"/>
      <c r="E904" s="454"/>
      <c r="F904" s="454" t="s">
        <v>163</v>
      </c>
      <c r="G904" s="454"/>
      <c r="H904" s="454"/>
      <c r="I904" s="454"/>
      <c r="J904" s="416">
        <v>384.53199999999998</v>
      </c>
    </row>
    <row r="905" spans="1:10" s="296" customFormat="1" ht="20.100000000000001" customHeight="1" x14ac:dyDescent="0.25">
      <c r="A905" s="454"/>
      <c r="B905" s="454"/>
      <c r="C905" s="454"/>
      <c r="D905" s="454"/>
      <c r="E905" s="454"/>
      <c r="F905" s="454" t="s">
        <v>169</v>
      </c>
      <c r="G905" s="454"/>
      <c r="H905" s="454"/>
      <c r="I905" s="454"/>
      <c r="J905" s="416">
        <v>384.53199999999998</v>
      </c>
    </row>
    <row r="906" spans="1:10" s="296" customFormat="1" ht="20.100000000000001" customHeight="1" x14ac:dyDescent="0.25">
      <c r="A906" s="454"/>
      <c r="B906" s="454"/>
      <c r="C906" s="454"/>
      <c r="D906" s="454"/>
      <c r="E906" s="454"/>
      <c r="F906" s="454" t="s">
        <v>170</v>
      </c>
      <c r="G906" s="454"/>
      <c r="H906" s="454"/>
      <c r="I906" s="454"/>
      <c r="J906" s="416">
        <v>0</v>
      </c>
    </row>
    <row r="907" spans="1:10" s="296" customFormat="1" ht="20.100000000000001" customHeight="1" x14ac:dyDescent="0.25">
      <c r="A907" s="454"/>
      <c r="B907" s="454"/>
      <c r="C907" s="454"/>
      <c r="D907" s="454"/>
      <c r="E907" s="454"/>
      <c r="F907" s="454" t="s">
        <v>171</v>
      </c>
      <c r="G907" s="454"/>
      <c r="H907" s="454"/>
      <c r="I907" s="454"/>
      <c r="J907" s="416">
        <v>0</v>
      </c>
    </row>
    <row r="908" spans="1:10" s="296" customFormat="1" ht="20.100000000000001" customHeight="1" x14ac:dyDescent="0.25">
      <c r="A908" s="454"/>
      <c r="B908" s="454"/>
      <c r="C908" s="454"/>
      <c r="D908" s="454"/>
      <c r="E908" s="454"/>
      <c r="F908" s="454" t="s">
        <v>172</v>
      </c>
      <c r="G908" s="454"/>
      <c r="H908" s="454"/>
      <c r="I908" s="454"/>
      <c r="J908" s="416">
        <v>731.74</v>
      </c>
    </row>
    <row r="909" spans="1:10" s="296" customFormat="1" ht="20.100000000000001" customHeight="1" x14ac:dyDescent="0.25">
      <c r="A909" s="454"/>
      <c r="B909" s="454"/>
      <c r="C909" s="454"/>
      <c r="D909" s="454"/>
      <c r="E909" s="454"/>
      <c r="F909" s="454" t="s">
        <v>173</v>
      </c>
      <c r="G909" s="454"/>
      <c r="H909" s="454"/>
      <c r="I909" s="454"/>
      <c r="J909" s="416">
        <v>0.52549999999999997</v>
      </c>
    </row>
    <row r="910" spans="1:10" s="296" customFormat="1" ht="15" x14ac:dyDescent="0.25">
      <c r="A910" s="409"/>
      <c r="B910" s="409"/>
      <c r="C910" s="409"/>
      <c r="D910" s="409"/>
      <c r="E910" s="409"/>
      <c r="F910" s="410"/>
      <c r="G910" s="409"/>
      <c r="H910" s="410"/>
      <c r="I910" s="409"/>
      <c r="J910" s="410"/>
    </row>
    <row r="911" spans="1:10" s="296" customFormat="1" ht="15" x14ac:dyDescent="0.25">
      <c r="A911" s="409"/>
      <c r="B911" s="409"/>
      <c r="C911" s="409"/>
      <c r="D911" s="409"/>
      <c r="E911" s="409" t="s">
        <v>116</v>
      </c>
      <c r="F911" s="410">
        <v>0.12</v>
      </c>
      <c r="G911" s="409"/>
      <c r="H911" s="455" t="s">
        <v>117</v>
      </c>
      <c r="I911" s="455"/>
      <c r="J911" s="410">
        <v>0.65</v>
      </c>
    </row>
  </sheetData>
  <autoFilter ref="A5:J911" xr:uid="{840CCCF4-28AE-44FC-B360-94396457F3B0}">
    <filterColumn colId="4" showButton="0"/>
  </autoFilter>
  <mergeCells count="1196">
    <mergeCell ref="E29:F29"/>
    <mergeCell ref="H35:I35"/>
    <mergeCell ref="E38:F38"/>
    <mergeCell ref="E39:F39"/>
    <mergeCell ref="E40:F40"/>
    <mergeCell ref="H43:I43"/>
    <mergeCell ref="E45:F45"/>
    <mergeCell ref="C1:D1"/>
    <mergeCell ref="E1:F1"/>
    <mergeCell ref="I1:J1"/>
    <mergeCell ref="C2:D2"/>
    <mergeCell ref="E2:F2"/>
    <mergeCell ref="I2:J2"/>
    <mergeCell ref="A3:J3"/>
    <mergeCell ref="A4:J4"/>
    <mergeCell ref="E41:F41"/>
    <mergeCell ref="E5:F5"/>
    <mergeCell ref="H9:I9"/>
    <mergeCell ref="E11:F11"/>
    <mergeCell ref="H15:I15"/>
    <mergeCell ref="E17:F17"/>
    <mergeCell ref="E6:F6"/>
    <mergeCell ref="E7:F7"/>
    <mergeCell ref="E30:F30"/>
    <mergeCell ref="E31:F31"/>
    <mergeCell ref="E32:F32"/>
    <mergeCell ref="E33:F33"/>
    <mergeCell ref="E37:F37"/>
    <mergeCell ref="E46:F46"/>
    <mergeCell ref="E47:F47"/>
    <mergeCell ref="E48:F48"/>
    <mergeCell ref="E49:F49"/>
    <mergeCell ref="E50:F50"/>
    <mergeCell ref="E51:F51"/>
    <mergeCell ref="E52:F52"/>
    <mergeCell ref="A71:E71"/>
    <mergeCell ref="F71:I71"/>
    <mergeCell ref="A72:E72"/>
    <mergeCell ref="F72:I72"/>
    <mergeCell ref="H54:I54"/>
    <mergeCell ref="E56:F56"/>
    <mergeCell ref="E57:F57"/>
    <mergeCell ref="A58:A59"/>
    <mergeCell ref="B58:B59"/>
    <mergeCell ref="C58:C59"/>
    <mergeCell ref="D58:D59"/>
    <mergeCell ref="E58:E59"/>
    <mergeCell ref="F58:G58"/>
    <mergeCell ref="H58:I58"/>
    <mergeCell ref="J58:J59"/>
    <mergeCell ref="A66:E66"/>
    <mergeCell ref="F66:I66"/>
    <mergeCell ref="F67:I67"/>
    <mergeCell ref="A69:E69"/>
    <mergeCell ref="F69:I69"/>
    <mergeCell ref="A70:E70"/>
    <mergeCell ref="F70:I70"/>
    <mergeCell ref="A75:E75"/>
    <mergeCell ref="F75:I75"/>
    <mergeCell ref="H77:I77"/>
    <mergeCell ref="E79:F79"/>
    <mergeCell ref="E80:F80"/>
    <mergeCell ref="A81:A82"/>
    <mergeCell ref="B81:B82"/>
    <mergeCell ref="C81:C82"/>
    <mergeCell ref="D81:D82"/>
    <mergeCell ref="E81:E82"/>
    <mergeCell ref="F81:G81"/>
    <mergeCell ref="H81:I81"/>
    <mergeCell ref="J81:J82"/>
    <mergeCell ref="A73:E73"/>
    <mergeCell ref="F73:I73"/>
    <mergeCell ref="A74:E74"/>
    <mergeCell ref="F74:I74"/>
    <mergeCell ref="A85:E85"/>
    <mergeCell ref="F85:I85"/>
    <mergeCell ref="A86:E86"/>
    <mergeCell ref="F86:I86"/>
    <mergeCell ref="A87:E87"/>
    <mergeCell ref="F87:I87"/>
    <mergeCell ref="A88:E88"/>
    <mergeCell ref="F88:I88"/>
    <mergeCell ref="A89:E89"/>
    <mergeCell ref="F89:I89"/>
    <mergeCell ref="A90:E90"/>
    <mergeCell ref="F90:I90"/>
    <mergeCell ref="H92:I92"/>
    <mergeCell ref="E94:F94"/>
    <mergeCell ref="E95:F95"/>
    <mergeCell ref="A96:A97"/>
    <mergeCell ref="B96:B97"/>
    <mergeCell ref="C96:C97"/>
    <mergeCell ref="D96:D97"/>
    <mergeCell ref="E96:E97"/>
    <mergeCell ref="F96:G96"/>
    <mergeCell ref="H96:I96"/>
    <mergeCell ref="J96:J97"/>
    <mergeCell ref="A99:E99"/>
    <mergeCell ref="F99:I99"/>
    <mergeCell ref="A100:E100"/>
    <mergeCell ref="F100:I100"/>
    <mergeCell ref="A101:E101"/>
    <mergeCell ref="F101:I101"/>
    <mergeCell ref="A102:E102"/>
    <mergeCell ref="F102:I102"/>
    <mergeCell ref="A103:E103"/>
    <mergeCell ref="F103:I103"/>
    <mergeCell ref="A104:E104"/>
    <mergeCell ref="F104:I104"/>
    <mergeCell ref="H106:I106"/>
    <mergeCell ref="E108:F108"/>
    <mergeCell ref="E109:F109"/>
    <mergeCell ref="A110:A111"/>
    <mergeCell ref="B110:B111"/>
    <mergeCell ref="C110:C111"/>
    <mergeCell ref="D110:D111"/>
    <mergeCell ref="E110:E111"/>
    <mergeCell ref="F110:G110"/>
    <mergeCell ref="H110:I110"/>
    <mergeCell ref="J110:J111"/>
    <mergeCell ref="A113:E113"/>
    <mergeCell ref="F113:I113"/>
    <mergeCell ref="A114:E114"/>
    <mergeCell ref="F114:I114"/>
    <mergeCell ref="A115:E115"/>
    <mergeCell ref="F115:I115"/>
    <mergeCell ref="A116:E116"/>
    <mergeCell ref="F116:I116"/>
    <mergeCell ref="A117:E117"/>
    <mergeCell ref="F117:I117"/>
    <mergeCell ref="A118:E118"/>
    <mergeCell ref="F118:I118"/>
    <mergeCell ref="H120:I120"/>
    <mergeCell ref="E122:F122"/>
    <mergeCell ref="E123:F123"/>
    <mergeCell ref="A124:A125"/>
    <mergeCell ref="B124:B125"/>
    <mergeCell ref="C124:C125"/>
    <mergeCell ref="D124:D125"/>
    <mergeCell ref="E124:E125"/>
    <mergeCell ref="F124:G124"/>
    <mergeCell ref="H124:I124"/>
    <mergeCell ref="J124:J125"/>
    <mergeCell ref="A127:E127"/>
    <mergeCell ref="F127:I127"/>
    <mergeCell ref="F128:I128"/>
    <mergeCell ref="A130:E130"/>
    <mergeCell ref="F130:I130"/>
    <mergeCell ref="A131:E131"/>
    <mergeCell ref="F131:I131"/>
    <mergeCell ref="A132:E132"/>
    <mergeCell ref="F132:I132"/>
    <mergeCell ref="A133:E133"/>
    <mergeCell ref="F133:I133"/>
    <mergeCell ref="A134:E134"/>
    <mergeCell ref="F134:I134"/>
    <mergeCell ref="A135:E135"/>
    <mergeCell ref="F135:I135"/>
    <mergeCell ref="A136:E136"/>
    <mergeCell ref="F136:I136"/>
    <mergeCell ref="H138:I138"/>
    <mergeCell ref="E140:F140"/>
    <mergeCell ref="E141:F141"/>
    <mergeCell ref="A142:A143"/>
    <mergeCell ref="B142:B143"/>
    <mergeCell ref="C142:C143"/>
    <mergeCell ref="D142:D143"/>
    <mergeCell ref="E142:E143"/>
    <mergeCell ref="F142:G142"/>
    <mergeCell ref="H142:I142"/>
    <mergeCell ref="J142:J143"/>
    <mergeCell ref="A150:E150"/>
    <mergeCell ref="F150:I150"/>
    <mergeCell ref="F151:I151"/>
    <mergeCell ref="A153:E153"/>
    <mergeCell ref="F153:I153"/>
    <mergeCell ref="A154:E154"/>
    <mergeCell ref="F154:I154"/>
    <mergeCell ref="H167:I167"/>
    <mergeCell ref="E169:F169"/>
    <mergeCell ref="E170:F170"/>
    <mergeCell ref="A171:A172"/>
    <mergeCell ref="B171:B172"/>
    <mergeCell ref="C171:C172"/>
    <mergeCell ref="D171:D172"/>
    <mergeCell ref="E171:E172"/>
    <mergeCell ref="F171:G171"/>
    <mergeCell ref="H171:I171"/>
    <mergeCell ref="J171:J172"/>
    <mergeCell ref="A179:E179"/>
    <mergeCell ref="F179:I179"/>
    <mergeCell ref="F180:I180"/>
    <mergeCell ref="A155:E155"/>
    <mergeCell ref="F155:I155"/>
    <mergeCell ref="A156:E156"/>
    <mergeCell ref="F156:I156"/>
    <mergeCell ref="A157:E157"/>
    <mergeCell ref="F157:I157"/>
    <mergeCell ref="A158:E158"/>
    <mergeCell ref="F158:I158"/>
    <mergeCell ref="A159:E159"/>
    <mergeCell ref="F159:I159"/>
    <mergeCell ref="G160:I160"/>
    <mergeCell ref="G161:I161"/>
    <mergeCell ref="A162:E162"/>
    <mergeCell ref="F162:I162"/>
    <mergeCell ref="H163:I163"/>
    <mergeCell ref="H164:I164"/>
    <mergeCell ref="A165:E165"/>
    <mergeCell ref="F165:I165"/>
    <mergeCell ref="H192:I192"/>
    <mergeCell ref="H193:I193"/>
    <mergeCell ref="A194:E194"/>
    <mergeCell ref="F194:I194"/>
    <mergeCell ref="H196:I196"/>
    <mergeCell ref="E198:F198"/>
    <mergeCell ref="E199:F199"/>
    <mergeCell ref="A200:A201"/>
    <mergeCell ref="B200:B201"/>
    <mergeCell ref="C200:C201"/>
    <mergeCell ref="D200:D201"/>
    <mergeCell ref="E200:E201"/>
    <mergeCell ref="F200:G200"/>
    <mergeCell ref="H200:I200"/>
    <mergeCell ref="A182:E182"/>
    <mergeCell ref="F182:I182"/>
    <mergeCell ref="A183:E183"/>
    <mergeCell ref="F183:I183"/>
    <mergeCell ref="A184:E184"/>
    <mergeCell ref="F184:I184"/>
    <mergeCell ref="A185:E185"/>
    <mergeCell ref="F185:I185"/>
    <mergeCell ref="A186:E186"/>
    <mergeCell ref="F186:I186"/>
    <mergeCell ref="A187:E187"/>
    <mergeCell ref="F187:I187"/>
    <mergeCell ref="A188:E188"/>
    <mergeCell ref="F188:I188"/>
    <mergeCell ref="G189:I189"/>
    <mergeCell ref="G190:I190"/>
    <mergeCell ref="A191:E191"/>
    <mergeCell ref="F191:I191"/>
    <mergeCell ref="G218:I218"/>
    <mergeCell ref="G219:I219"/>
    <mergeCell ref="A220:E220"/>
    <mergeCell ref="F220:I220"/>
    <mergeCell ref="G221:I221"/>
    <mergeCell ref="G222:I222"/>
    <mergeCell ref="A223:E223"/>
    <mergeCell ref="F223:I223"/>
    <mergeCell ref="H224:I224"/>
    <mergeCell ref="H225:I225"/>
    <mergeCell ref="H226:I226"/>
    <mergeCell ref="A227:E227"/>
    <mergeCell ref="F227:I227"/>
    <mergeCell ref="H229:I229"/>
    <mergeCell ref="J200:J201"/>
    <mergeCell ref="A208:E208"/>
    <mergeCell ref="F208:I208"/>
    <mergeCell ref="F209:I209"/>
    <mergeCell ref="A211:E211"/>
    <mergeCell ref="F211:I211"/>
    <mergeCell ref="A212:E212"/>
    <mergeCell ref="F212:I212"/>
    <mergeCell ref="A213:E213"/>
    <mergeCell ref="F213:I213"/>
    <mergeCell ref="A214:E214"/>
    <mergeCell ref="F214:I214"/>
    <mergeCell ref="A215:E215"/>
    <mergeCell ref="F215:I215"/>
    <mergeCell ref="A216:E216"/>
    <mergeCell ref="F216:I216"/>
    <mergeCell ref="A217:E217"/>
    <mergeCell ref="F217:I217"/>
    <mergeCell ref="J259:J260"/>
    <mergeCell ref="A263:E263"/>
    <mergeCell ref="F263:I263"/>
    <mergeCell ref="F264:I264"/>
    <mergeCell ref="A266:E266"/>
    <mergeCell ref="F266:I266"/>
    <mergeCell ref="A267:E267"/>
    <mergeCell ref="F267:I267"/>
    <mergeCell ref="E231:F231"/>
    <mergeCell ref="E232:F232"/>
    <mergeCell ref="E233:F233"/>
    <mergeCell ref="H235:I235"/>
    <mergeCell ref="E237:F237"/>
    <mergeCell ref="E238:F238"/>
    <mergeCell ref="E239:F239"/>
    <mergeCell ref="H241:I241"/>
    <mergeCell ref="E243:F243"/>
    <mergeCell ref="E244:F244"/>
    <mergeCell ref="E245:F245"/>
    <mergeCell ref="E246:F246"/>
    <mergeCell ref="H248:I248"/>
    <mergeCell ref="E250:F250"/>
    <mergeCell ref="E251:F251"/>
    <mergeCell ref="E252:F252"/>
    <mergeCell ref="E253:F253"/>
    <mergeCell ref="A268:E268"/>
    <mergeCell ref="F268:I268"/>
    <mergeCell ref="A269:E269"/>
    <mergeCell ref="F269:I269"/>
    <mergeCell ref="A270:E270"/>
    <mergeCell ref="F270:I270"/>
    <mergeCell ref="A271:E271"/>
    <mergeCell ref="F271:I271"/>
    <mergeCell ref="A272:E272"/>
    <mergeCell ref="F272:I272"/>
    <mergeCell ref="H274:I274"/>
    <mergeCell ref="E276:F276"/>
    <mergeCell ref="E277:F277"/>
    <mergeCell ref="H255:I255"/>
    <mergeCell ref="E257:F257"/>
    <mergeCell ref="E258:F258"/>
    <mergeCell ref="A259:A260"/>
    <mergeCell ref="B259:B260"/>
    <mergeCell ref="C259:C260"/>
    <mergeCell ref="D259:D260"/>
    <mergeCell ref="E259:E260"/>
    <mergeCell ref="F259:G259"/>
    <mergeCell ref="H259:I259"/>
    <mergeCell ref="A278:A279"/>
    <mergeCell ref="B278:B279"/>
    <mergeCell ref="C278:C279"/>
    <mergeCell ref="D278:D279"/>
    <mergeCell ref="E278:E279"/>
    <mergeCell ref="F278:G278"/>
    <mergeCell ref="H278:I278"/>
    <mergeCell ref="J278:J279"/>
    <mergeCell ref="A284:E284"/>
    <mergeCell ref="F284:I284"/>
    <mergeCell ref="F285:I285"/>
    <mergeCell ref="A287:E287"/>
    <mergeCell ref="F287:I287"/>
    <mergeCell ref="A288:E288"/>
    <mergeCell ref="F288:I288"/>
    <mergeCell ref="A289:E289"/>
    <mergeCell ref="F289:I289"/>
    <mergeCell ref="A301:E301"/>
    <mergeCell ref="F301:I301"/>
    <mergeCell ref="H303:I303"/>
    <mergeCell ref="E305:F305"/>
    <mergeCell ref="E306:F306"/>
    <mergeCell ref="A307:A308"/>
    <mergeCell ref="B307:B308"/>
    <mergeCell ref="C307:C308"/>
    <mergeCell ref="D307:D308"/>
    <mergeCell ref="E307:E308"/>
    <mergeCell ref="F307:G307"/>
    <mergeCell ref="H307:I307"/>
    <mergeCell ref="J307:J308"/>
    <mergeCell ref="A313:E313"/>
    <mergeCell ref="F313:I313"/>
    <mergeCell ref="A290:E290"/>
    <mergeCell ref="F290:I290"/>
    <mergeCell ref="A291:E291"/>
    <mergeCell ref="F291:I291"/>
    <mergeCell ref="A292:E292"/>
    <mergeCell ref="F292:I292"/>
    <mergeCell ref="A293:E293"/>
    <mergeCell ref="F293:I293"/>
    <mergeCell ref="G294:I294"/>
    <mergeCell ref="G295:I295"/>
    <mergeCell ref="G296:I296"/>
    <mergeCell ref="A297:E297"/>
    <mergeCell ref="F297:I297"/>
    <mergeCell ref="H298:I298"/>
    <mergeCell ref="H299:I299"/>
    <mergeCell ref="H300:I300"/>
    <mergeCell ref="G324:I324"/>
    <mergeCell ref="A325:E325"/>
    <mergeCell ref="F325:I325"/>
    <mergeCell ref="H326:I326"/>
    <mergeCell ref="H327:I327"/>
    <mergeCell ref="A328:E328"/>
    <mergeCell ref="F328:I328"/>
    <mergeCell ref="H330:I330"/>
    <mergeCell ref="E332:F332"/>
    <mergeCell ref="E333:F333"/>
    <mergeCell ref="A334:E334"/>
    <mergeCell ref="F334:I334"/>
    <mergeCell ref="A335:E335"/>
    <mergeCell ref="F335:I335"/>
    <mergeCell ref="F314:I314"/>
    <mergeCell ref="A316:E316"/>
    <mergeCell ref="F316:I316"/>
    <mergeCell ref="A317:E317"/>
    <mergeCell ref="F317:I317"/>
    <mergeCell ref="A318:E318"/>
    <mergeCell ref="F318:I318"/>
    <mergeCell ref="A319:E319"/>
    <mergeCell ref="F319:I319"/>
    <mergeCell ref="A320:E320"/>
    <mergeCell ref="F320:I320"/>
    <mergeCell ref="A321:E321"/>
    <mergeCell ref="F321:I321"/>
    <mergeCell ref="A322:E322"/>
    <mergeCell ref="F322:I322"/>
    <mergeCell ref="G323:I323"/>
    <mergeCell ref="A336:E336"/>
    <mergeCell ref="F336:I336"/>
    <mergeCell ref="A337:E337"/>
    <mergeCell ref="F337:I337"/>
    <mergeCell ref="A338:E338"/>
    <mergeCell ref="F338:I338"/>
    <mergeCell ref="G339:I339"/>
    <mergeCell ref="G340:I340"/>
    <mergeCell ref="G341:I341"/>
    <mergeCell ref="G342:I342"/>
    <mergeCell ref="G343:I343"/>
    <mergeCell ref="A344:E344"/>
    <mergeCell ref="F344:I344"/>
    <mergeCell ref="H346:I346"/>
    <mergeCell ref="E348:F348"/>
    <mergeCell ref="E349:F349"/>
    <mergeCell ref="A350:A351"/>
    <mergeCell ref="B350:B351"/>
    <mergeCell ref="C350:C351"/>
    <mergeCell ref="D350:D351"/>
    <mergeCell ref="E350:E351"/>
    <mergeCell ref="F350:G350"/>
    <mergeCell ref="H350:I350"/>
    <mergeCell ref="J350:J351"/>
    <mergeCell ref="A353:E353"/>
    <mergeCell ref="F353:I353"/>
    <mergeCell ref="F354:I354"/>
    <mergeCell ref="A356:E356"/>
    <mergeCell ref="F356:I356"/>
    <mergeCell ref="A357:E357"/>
    <mergeCell ref="F357:I357"/>
    <mergeCell ref="A358:E358"/>
    <mergeCell ref="F358:I358"/>
    <mergeCell ref="A359:E359"/>
    <mergeCell ref="F359:I359"/>
    <mergeCell ref="A360:E360"/>
    <mergeCell ref="F360:I360"/>
    <mergeCell ref="A361:E361"/>
    <mergeCell ref="F361:I361"/>
    <mergeCell ref="A362:E362"/>
    <mergeCell ref="F362:I362"/>
    <mergeCell ref="H364:I364"/>
    <mergeCell ref="E366:F366"/>
    <mergeCell ref="E367:F367"/>
    <mergeCell ref="A368:A369"/>
    <mergeCell ref="B368:B369"/>
    <mergeCell ref="C368:C369"/>
    <mergeCell ref="D368:D369"/>
    <mergeCell ref="E368:E369"/>
    <mergeCell ref="F368:G368"/>
    <mergeCell ref="H368:I368"/>
    <mergeCell ref="J368:J369"/>
    <mergeCell ref="A371:E371"/>
    <mergeCell ref="F371:I371"/>
    <mergeCell ref="F372:I372"/>
    <mergeCell ref="A375:E375"/>
    <mergeCell ref="F375:I375"/>
    <mergeCell ref="A376:E376"/>
    <mergeCell ref="F376:I376"/>
    <mergeCell ref="A377:E377"/>
    <mergeCell ref="F377:I377"/>
    <mergeCell ref="A378:E378"/>
    <mergeCell ref="F378:I378"/>
    <mergeCell ref="A379:E379"/>
    <mergeCell ref="F379:I379"/>
    <mergeCell ref="A380:E380"/>
    <mergeCell ref="F380:I380"/>
    <mergeCell ref="A381:E381"/>
    <mergeCell ref="F381:I381"/>
    <mergeCell ref="G382:I382"/>
    <mergeCell ref="G383:I383"/>
    <mergeCell ref="A384:E384"/>
    <mergeCell ref="F384:I384"/>
    <mergeCell ref="H386:I386"/>
    <mergeCell ref="E388:F388"/>
    <mergeCell ref="E389:F389"/>
    <mergeCell ref="A390:A391"/>
    <mergeCell ref="B390:B391"/>
    <mergeCell ref="C390:C391"/>
    <mergeCell ref="D390:D391"/>
    <mergeCell ref="E390:E391"/>
    <mergeCell ref="F390:G390"/>
    <mergeCell ref="H390:I390"/>
    <mergeCell ref="J390:J391"/>
    <mergeCell ref="A393:E393"/>
    <mergeCell ref="F393:I393"/>
    <mergeCell ref="F394:I394"/>
    <mergeCell ref="A397:E397"/>
    <mergeCell ref="F397:I397"/>
    <mergeCell ref="A398:E398"/>
    <mergeCell ref="F398:I398"/>
    <mergeCell ref="A399:E399"/>
    <mergeCell ref="F399:I399"/>
    <mergeCell ref="H413:I413"/>
    <mergeCell ref="E415:F415"/>
    <mergeCell ref="E416:F416"/>
    <mergeCell ref="A417:A418"/>
    <mergeCell ref="B417:B418"/>
    <mergeCell ref="C417:C418"/>
    <mergeCell ref="D417:D418"/>
    <mergeCell ref="E417:E418"/>
    <mergeCell ref="F417:G417"/>
    <mergeCell ref="H417:I417"/>
    <mergeCell ref="A400:E400"/>
    <mergeCell ref="F400:I400"/>
    <mergeCell ref="A401:E401"/>
    <mergeCell ref="F401:I401"/>
    <mergeCell ref="A402:E402"/>
    <mergeCell ref="F402:I402"/>
    <mergeCell ref="A403:E403"/>
    <mergeCell ref="F403:I403"/>
    <mergeCell ref="G404:I404"/>
    <mergeCell ref="G405:I405"/>
    <mergeCell ref="G406:I406"/>
    <mergeCell ref="A407:E407"/>
    <mergeCell ref="F407:I407"/>
    <mergeCell ref="G408:I408"/>
    <mergeCell ref="G409:I409"/>
    <mergeCell ref="G410:I410"/>
    <mergeCell ref="A411:E411"/>
    <mergeCell ref="F411:I411"/>
    <mergeCell ref="G431:I431"/>
    <mergeCell ref="G432:I432"/>
    <mergeCell ref="G433:I433"/>
    <mergeCell ref="G434:I434"/>
    <mergeCell ref="G435:I435"/>
    <mergeCell ref="G436:I436"/>
    <mergeCell ref="A437:E437"/>
    <mergeCell ref="F437:I437"/>
    <mergeCell ref="J417:J418"/>
    <mergeCell ref="A420:E420"/>
    <mergeCell ref="F420:I420"/>
    <mergeCell ref="F421:I421"/>
    <mergeCell ref="A424:E424"/>
    <mergeCell ref="F424:I424"/>
    <mergeCell ref="A425:E425"/>
    <mergeCell ref="F425:I425"/>
    <mergeCell ref="A426:E426"/>
    <mergeCell ref="F426:I426"/>
    <mergeCell ref="A427:E427"/>
    <mergeCell ref="F427:I427"/>
    <mergeCell ref="A428:E428"/>
    <mergeCell ref="F428:I428"/>
    <mergeCell ref="A429:E429"/>
    <mergeCell ref="F429:I429"/>
    <mergeCell ref="A430:E430"/>
    <mergeCell ref="F430:I430"/>
    <mergeCell ref="H439:I439"/>
    <mergeCell ref="E441:F441"/>
    <mergeCell ref="E442:F442"/>
    <mergeCell ref="E443:F443"/>
    <mergeCell ref="E444:F444"/>
    <mergeCell ref="E445:F445"/>
    <mergeCell ref="E446:F446"/>
    <mergeCell ref="E447:F447"/>
    <mergeCell ref="H449:I449"/>
    <mergeCell ref="E451:F451"/>
    <mergeCell ref="E452:F452"/>
    <mergeCell ref="E453:F453"/>
    <mergeCell ref="E454:F454"/>
    <mergeCell ref="H456:I456"/>
    <mergeCell ref="E458:F458"/>
    <mergeCell ref="E459:F459"/>
    <mergeCell ref="E460:F460"/>
    <mergeCell ref="E461:F461"/>
    <mergeCell ref="H463:I463"/>
    <mergeCell ref="A465:J465"/>
    <mergeCell ref="E466:F466"/>
    <mergeCell ref="E467:F467"/>
    <mergeCell ref="A468:A469"/>
    <mergeCell ref="B468:B469"/>
    <mergeCell ref="C468:C469"/>
    <mergeCell ref="D468:D469"/>
    <mergeCell ref="E468:E469"/>
    <mergeCell ref="F468:G468"/>
    <mergeCell ref="H468:I468"/>
    <mergeCell ref="J468:J469"/>
    <mergeCell ref="A471:E471"/>
    <mergeCell ref="F471:I471"/>
    <mergeCell ref="A472:E472"/>
    <mergeCell ref="F472:I472"/>
    <mergeCell ref="A473:E473"/>
    <mergeCell ref="F473:I473"/>
    <mergeCell ref="A474:E474"/>
    <mergeCell ref="F474:I474"/>
    <mergeCell ref="A475:E475"/>
    <mergeCell ref="F475:I475"/>
    <mergeCell ref="A476:E476"/>
    <mergeCell ref="F476:I476"/>
    <mergeCell ref="H478:I478"/>
    <mergeCell ref="E480:F480"/>
    <mergeCell ref="E481:F481"/>
    <mergeCell ref="A482:A483"/>
    <mergeCell ref="B482:B483"/>
    <mergeCell ref="C482:C483"/>
    <mergeCell ref="D482:D483"/>
    <mergeCell ref="E482:E483"/>
    <mergeCell ref="F482:G482"/>
    <mergeCell ref="H482:I482"/>
    <mergeCell ref="J482:J483"/>
    <mergeCell ref="A485:E485"/>
    <mergeCell ref="F485:I485"/>
    <mergeCell ref="A486:E486"/>
    <mergeCell ref="F486:I486"/>
    <mergeCell ref="A487:E487"/>
    <mergeCell ref="F487:I487"/>
    <mergeCell ref="A488:E488"/>
    <mergeCell ref="F488:I488"/>
    <mergeCell ref="A489:E489"/>
    <mergeCell ref="F489:I489"/>
    <mergeCell ref="A490:E490"/>
    <mergeCell ref="F490:I490"/>
    <mergeCell ref="H492:I492"/>
    <mergeCell ref="E494:F494"/>
    <mergeCell ref="E495:F495"/>
    <mergeCell ref="A496:A497"/>
    <mergeCell ref="B496:B497"/>
    <mergeCell ref="C496:C497"/>
    <mergeCell ref="D496:D497"/>
    <mergeCell ref="E496:E497"/>
    <mergeCell ref="F496:G496"/>
    <mergeCell ref="H496:I496"/>
    <mergeCell ref="J496:J497"/>
    <mergeCell ref="A499:E499"/>
    <mergeCell ref="F499:I499"/>
    <mergeCell ref="A500:E500"/>
    <mergeCell ref="F500:I500"/>
    <mergeCell ref="A501:E501"/>
    <mergeCell ref="F501:I501"/>
    <mergeCell ref="A502:E502"/>
    <mergeCell ref="F502:I502"/>
    <mergeCell ref="A503:E503"/>
    <mergeCell ref="F503:I503"/>
    <mergeCell ref="A504:E504"/>
    <mergeCell ref="F504:I504"/>
    <mergeCell ref="H506:I506"/>
    <mergeCell ref="E508:F508"/>
    <mergeCell ref="E509:F509"/>
    <mergeCell ref="A510:A511"/>
    <mergeCell ref="B510:B511"/>
    <mergeCell ref="C510:C511"/>
    <mergeCell ref="D510:D511"/>
    <mergeCell ref="E510:E511"/>
    <mergeCell ref="F510:G510"/>
    <mergeCell ref="H510:I510"/>
    <mergeCell ref="J510:J511"/>
    <mergeCell ref="A513:E513"/>
    <mergeCell ref="F513:I513"/>
    <mergeCell ref="A514:E514"/>
    <mergeCell ref="F514:I514"/>
    <mergeCell ref="A515:E515"/>
    <mergeCell ref="F515:I515"/>
    <mergeCell ref="A516:E516"/>
    <mergeCell ref="F516:I516"/>
    <mergeCell ref="A517:E517"/>
    <mergeCell ref="F517:I517"/>
    <mergeCell ref="A518:E518"/>
    <mergeCell ref="F518:I518"/>
    <mergeCell ref="H520:I520"/>
    <mergeCell ref="E522:F522"/>
    <mergeCell ref="E523:F523"/>
    <mergeCell ref="A524:A525"/>
    <mergeCell ref="B524:B525"/>
    <mergeCell ref="C524:C525"/>
    <mergeCell ref="D524:D525"/>
    <mergeCell ref="E524:E525"/>
    <mergeCell ref="F524:G524"/>
    <mergeCell ref="H524:I524"/>
    <mergeCell ref="J524:J525"/>
    <mergeCell ref="H539:I539"/>
    <mergeCell ref="E541:F541"/>
    <mergeCell ref="E542:F542"/>
    <mergeCell ref="E543:F543"/>
    <mergeCell ref="E544:F544"/>
    <mergeCell ref="E545:F545"/>
    <mergeCell ref="E546:F546"/>
    <mergeCell ref="E547:F547"/>
    <mergeCell ref="E548:F548"/>
    <mergeCell ref="H550:I550"/>
    <mergeCell ref="A528:E528"/>
    <mergeCell ref="F528:I528"/>
    <mergeCell ref="F529:I529"/>
    <mergeCell ref="A531:E531"/>
    <mergeCell ref="F531:I531"/>
    <mergeCell ref="A532:E532"/>
    <mergeCell ref="F532:I532"/>
    <mergeCell ref="A533:E533"/>
    <mergeCell ref="F533:I533"/>
    <mergeCell ref="A534:E534"/>
    <mergeCell ref="F534:I534"/>
    <mergeCell ref="A535:E535"/>
    <mergeCell ref="F535:I535"/>
    <mergeCell ref="A536:E536"/>
    <mergeCell ref="F536:I536"/>
    <mergeCell ref="A537:E537"/>
    <mergeCell ref="F537:I537"/>
    <mergeCell ref="E566:F566"/>
    <mergeCell ref="E567:F567"/>
    <mergeCell ref="A568:A569"/>
    <mergeCell ref="B568:B569"/>
    <mergeCell ref="C568:C569"/>
    <mergeCell ref="D568:D569"/>
    <mergeCell ref="E568:E569"/>
    <mergeCell ref="F568:G568"/>
    <mergeCell ref="H568:I568"/>
    <mergeCell ref="J568:J569"/>
    <mergeCell ref="A571:E571"/>
    <mergeCell ref="F571:I571"/>
    <mergeCell ref="E559:F559"/>
    <mergeCell ref="E560:F560"/>
    <mergeCell ref="E561:F561"/>
    <mergeCell ref="H563:I563"/>
    <mergeCell ref="E553:F553"/>
    <mergeCell ref="E554:F554"/>
    <mergeCell ref="E555:F555"/>
    <mergeCell ref="E556:F556"/>
    <mergeCell ref="E557:F557"/>
    <mergeCell ref="E558:F558"/>
    <mergeCell ref="F572:I572"/>
    <mergeCell ref="A574:E574"/>
    <mergeCell ref="F574:I574"/>
    <mergeCell ref="A575:E575"/>
    <mergeCell ref="F575:I575"/>
    <mergeCell ref="A576:E576"/>
    <mergeCell ref="F576:I576"/>
    <mergeCell ref="A577:E577"/>
    <mergeCell ref="F577:I577"/>
    <mergeCell ref="A578:E578"/>
    <mergeCell ref="F578:I578"/>
    <mergeCell ref="A579:E579"/>
    <mergeCell ref="F579:I579"/>
    <mergeCell ref="A580:E580"/>
    <mergeCell ref="F580:I580"/>
    <mergeCell ref="H582:I582"/>
    <mergeCell ref="E584:F584"/>
    <mergeCell ref="E585:F585"/>
    <mergeCell ref="A586:A587"/>
    <mergeCell ref="B586:B587"/>
    <mergeCell ref="C586:C587"/>
    <mergeCell ref="D586:D587"/>
    <mergeCell ref="E586:E587"/>
    <mergeCell ref="F586:G586"/>
    <mergeCell ref="H586:I586"/>
    <mergeCell ref="J586:J587"/>
    <mergeCell ref="A592:E592"/>
    <mergeCell ref="F592:I592"/>
    <mergeCell ref="F593:I593"/>
    <mergeCell ref="A596:E596"/>
    <mergeCell ref="F596:I596"/>
    <mergeCell ref="A597:E597"/>
    <mergeCell ref="F597:I597"/>
    <mergeCell ref="A598:E598"/>
    <mergeCell ref="F598:I598"/>
    <mergeCell ref="E614:F614"/>
    <mergeCell ref="E615:F615"/>
    <mergeCell ref="F616:I616"/>
    <mergeCell ref="A618:E618"/>
    <mergeCell ref="F618:I618"/>
    <mergeCell ref="A619:E619"/>
    <mergeCell ref="F619:I619"/>
    <mergeCell ref="A620:E620"/>
    <mergeCell ref="F620:I620"/>
    <mergeCell ref="A621:E621"/>
    <mergeCell ref="F621:I621"/>
    <mergeCell ref="H611:I611"/>
    <mergeCell ref="A599:E599"/>
    <mergeCell ref="F599:I599"/>
    <mergeCell ref="A600:E600"/>
    <mergeCell ref="F600:I600"/>
    <mergeCell ref="A601:E601"/>
    <mergeCell ref="F601:I601"/>
    <mergeCell ref="A602:E602"/>
    <mergeCell ref="F602:I602"/>
    <mergeCell ref="G603:I603"/>
    <mergeCell ref="G604:I604"/>
    <mergeCell ref="G605:I605"/>
    <mergeCell ref="G606:I606"/>
    <mergeCell ref="G607:I607"/>
    <mergeCell ref="G608:I608"/>
    <mergeCell ref="A609:E609"/>
    <mergeCell ref="F609:I609"/>
    <mergeCell ref="A622:E622"/>
    <mergeCell ref="F622:I622"/>
    <mergeCell ref="A623:E623"/>
    <mergeCell ref="F623:I623"/>
    <mergeCell ref="A624:E624"/>
    <mergeCell ref="F624:I624"/>
    <mergeCell ref="G625:I625"/>
    <mergeCell ref="G626:I626"/>
    <mergeCell ref="A627:E627"/>
    <mergeCell ref="F627:I627"/>
    <mergeCell ref="H629:I629"/>
    <mergeCell ref="E631:F631"/>
    <mergeCell ref="E632:F632"/>
    <mergeCell ref="A633:A634"/>
    <mergeCell ref="B633:B634"/>
    <mergeCell ref="C633:C634"/>
    <mergeCell ref="D633:D634"/>
    <mergeCell ref="E633:E634"/>
    <mergeCell ref="F633:G633"/>
    <mergeCell ref="H633:I633"/>
    <mergeCell ref="J633:J634"/>
    <mergeCell ref="A636:E636"/>
    <mergeCell ref="F636:I636"/>
    <mergeCell ref="F637:I637"/>
    <mergeCell ref="A639:E639"/>
    <mergeCell ref="F639:I639"/>
    <mergeCell ref="A640:E640"/>
    <mergeCell ref="F640:I640"/>
    <mergeCell ref="A641:E641"/>
    <mergeCell ref="F641:I641"/>
    <mergeCell ref="A642:E642"/>
    <mergeCell ref="F642:I642"/>
    <mergeCell ref="A643:E643"/>
    <mergeCell ref="F643:I643"/>
    <mergeCell ref="A644:E644"/>
    <mergeCell ref="F644:I644"/>
    <mergeCell ref="A645:E645"/>
    <mergeCell ref="F645:I645"/>
    <mergeCell ref="H647:I647"/>
    <mergeCell ref="E649:F649"/>
    <mergeCell ref="E650:F650"/>
    <mergeCell ref="F651:I651"/>
    <mergeCell ref="A653:E653"/>
    <mergeCell ref="F653:I653"/>
    <mergeCell ref="A654:E654"/>
    <mergeCell ref="F654:I654"/>
    <mergeCell ref="A655:E655"/>
    <mergeCell ref="F655:I655"/>
    <mergeCell ref="A656:E656"/>
    <mergeCell ref="F656:I656"/>
    <mergeCell ref="A657:E657"/>
    <mergeCell ref="F657:I657"/>
    <mergeCell ref="A658:E658"/>
    <mergeCell ref="F658:I658"/>
    <mergeCell ref="A659:E659"/>
    <mergeCell ref="F659:I659"/>
    <mergeCell ref="H661:I661"/>
    <mergeCell ref="E663:F663"/>
    <mergeCell ref="E664:F664"/>
    <mergeCell ref="A665:A666"/>
    <mergeCell ref="B665:B666"/>
    <mergeCell ref="C665:C666"/>
    <mergeCell ref="D665:D666"/>
    <mergeCell ref="E665:E666"/>
    <mergeCell ref="F665:G665"/>
    <mergeCell ref="H665:I665"/>
    <mergeCell ref="J665:J666"/>
    <mergeCell ref="A669:E669"/>
    <mergeCell ref="F669:I669"/>
    <mergeCell ref="F670:I670"/>
    <mergeCell ref="A672:E672"/>
    <mergeCell ref="F672:I672"/>
    <mergeCell ref="A673:E673"/>
    <mergeCell ref="F673:I673"/>
    <mergeCell ref="E702:F702"/>
    <mergeCell ref="G685:I685"/>
    <mergeCell ref="G686:I686"/>
    <mergeCell ref="A687:E687"/>
    <mergeCell ref="F687:I687"/>
    <mergeCell ref="H689:I689"/>
    <mergeCell ref="E691:F691"/>
    <mergeCell ref="E692:F692"/>
    <mergeCell ref="E693:F693"/>
    <mergeCell ref="E694:F694"/>
    <mergeCell ref="E695:F695"/>
    <mergeCell ref="E696:F696"/>
    <mergeCell ref="E697:F697"/>
    <mergeCell ref="H699:I699"/>
    <mergeCell ref="A674:E674"/>
    <mergeCell ref="F674:I674"/>
    <mergeCell ref="A675:E675"/>
    <mergeCell ref="F675:I675"/>
    <mergeCell ref="A676:E676"/>
    <mergeCell ref="F676:I676"/>
    <mergeCell ref="A677:E677"/>
    <mergeCell ref="F677:I677"/>
    <mergeCell ref="A678:E678"/>
    <mergeCell ref="F678:I678"/>
    <mergeCell ref="G679:I679"/>
    <mergeCell ref="G680:I680"/>
    <mergeCell ref="G681:I681"/>
    <mergeCell ref="G682:I682"/>
    <mergeCell ref="G683:I683"/>
    <mergeCell ref="A684:E684"/>
    <mergeCell ref="F684:I684"/>
    <mergeCell ref="E703:F703"/>
    <mergeCell ref="E704:F704"/>
    <mergeCell ref="E705:F705"/>
    <mergeCell ref="E706:F706"/>
    <mergeCell ref="E707:F707"/>
    <mergeCell ref="H709:I709"/>
    <mergeCell ref="E711:F711"/>
    <mergeCell ref="E712:F712"/>
    <mergeCell ref="A713:A714"/>
    <mergeCell ref="B713:B714"/>
    <mergeCell ref="C713:C714"/>
    <mergeCell ref="D713:D714"/>
    <mergeCell ref="E713:E714"/>
    <mergeCell ref="F713:G713"/>
    <mergeCell ref="H713:I713"/>
    <mergeCell ref="J713:J714"/>
    <mergeCell ref="A717:E717"/>
    <mergeCell ref="F717:I717"/>
    <mergeCell ref="A730:E730"/>
    <mergeCell ref="F730:I730"/>
    <mergeCell ref="H732:I732"/>
    <mergeCell ref="E734:F734"/>
    <mergeCell ref="E735:F735"/>
    <mergeCell ref="A736:A737"/>
    <mergeCell ref="B736:B737"/>
    <mergeCell ref="C736:C737"/>
    <mergeCell ref="D736:D737"/>
    <mergeCell ref="E736:E737"/>
    <mergeCell ref="F736:G736"/>
    <mergeCell ref="H736:I736"/>
    <mergeCell ref="F718:I718"/>
    <mergeCell ref="A721:E721"/>
    <mergeCell ref="F721:I721"/>
    <mergeCell ref="A722:E722"/>
    <mergeCell ref="F722:I722"/>
    <mergeCell ref="A723:E723"/>
    <mergeCell ref="F723:I723"/>
    <mergeCell ref="A724:E724"/>
    <mergeCell ref="F724:I724"/>
    <mergeCell ref="A725:E725"/>
    <mergeCell ref="F725:I725"/>
    <mergeCell ref="A726:E726"/>
    <mergeCell ref="F726:I726"/>
    <mergeCell ref="A727:E727"/>
    <mergeCell ref="F727:I727"/>
    <mergeCell ref="G728:I728"/>
    <mergeCell ref="G729:I729"/>
    <mergeCell ref="J736:J737"/>
    <mergeCell ref="A742:E742"/>
    <mergeCell ref="F742:I742"/>
    <mergeCell ref="F743:I743"/>
    <mergeCell ref="A748:E748"/>
    <mergeCell ref="F748:I748"/>
    <mergeCell ref="A749:E749"/>
    <mergeCell ref="F749:I749"/>
    <mergeCell ref="A750:E750"/>
    <mergeCell ref="F750:I750"/>
    <mergeCell ref="A751:E751"/>
    <mergeCell ref="F751:I751"/>
    <mergeCell ref="A752:E752"/>
    <mergeCell ref="F752:I752"/>
    <mergeCell ref="A753:E753"/>
    <mergeCell ref="F753:I753"/>
    <mergeCell ref="A754:E754"/>
    <mergeCell ref="F754:I754"/>
    <mergeCell ref="H763:I763"/>
    <mergeCell ref="E765:F765"/>
    <mergeCell ref="E766:F766"/>
    <mergeCell ref="E767:F767"/>
    <mergeCell ref="E768:F768"/>
    <mergeCell ref="H770:I770"/>
    <mergeCell ref="E773:F773"/>
    <mergeCell ref="E774:F774"/>
    <mergeCell ref="G755:I755"/>
    <mergeCell ref="G756:I756"/>
    <mergeCell ref="G757:I757"/>
    <mergeCell ref="A758:E758"/>
    <mergeCell ref="F758:I758"/>
    <mergeCell ref="G759:I759"/>
    <mergeCell ref="G760:I760"/>
    <mergeCell ref="A761:E761"/>
    <mergeCell ref="F761:I761"/>
    <mergeCell ref="A775:A776"/>
    <mergeCell ref="B775:B776"/>
    <mergeCell ref="C775:C776"/>
    <mergeCell ref="D775:D776"/>
    <mergeCell ref="E775:E776"/>
    <mergeCell ref="F775:G775"/>
    <mergeCell ref="H775:I775"/>
    <mergeCell ref="J775:J776"/>
    <mergeCell ref="A778:E778"/>
    <mergeCell ref="F778:I778"/>
    <mergeCell ref="A779:E779"/>
    <mergeCell ref="F779:I779"/>
    <mergeCell ref="A780:E780"/>
    <mergeCell ref="F780:I780"/>
    <mergeCell ref="A781:E781"/>
    <mergeCell ref="F781:I781"/>
    <mergeCell ref="A782:E782"/>
    <mergeCell ref="F782:I782"/>
    <mergeCell ref="A783:E783"/>
    <mergeCell ref="F783:I783"/>
    <mergeCell ref="H785:I785"/>
    <mergeCell ref="E787:F787"/>
    <mergeCell ref="E788:F788"/>
    <mergeCell ref="A789:A790"/>
    <mergeCell ref="B789:B790"/>
    <mergeCell ref="C789:C790"/>
    <mergeCell ref="D789:D790"/>
    <mergeCell ref="E789:E790"/>
    <mergeCell ref="F789:G789"/>
    <mergeCell ref="H789:I789"/>
    <mergeCell ref="J789:J790"/>
    <mergeCell ref="A792:E792"/>
    <mergeCell ref="F792:I792"/>
    <mergeCell ref="A793:E793"/>
    <mergeCell ref="F793:I793"/>
    <mergeCell ref="A794:E794"/>
    <mergeCell ref="F794:I794"/>
    <mergeCell ref="A795:E795"/>
    <mergeCell ref="F795:I795"/>
    <mergeCell ref="A796:E796"/>
    <mergeCell ref="F796:I796"/>
    <mergeCell ref="A797:E797"/>
    <mergeCell ref="F797:I797"/>
    <mergeCell ref="H799:I799"/>
    <mergeCell ref="E801:F801"/>
    <mergeCell ref="E802:F802"/>
    <mergeCell ref="A803:A804"/>
    <mergeCell ref="B803:B804"/>
    <mergeCell ref="C803:C804"/>
    <mergeCell ref="D803:D804"/>
    <mergeCell ref="E803:E804"/>
    <mergeCell ref="F803:G803"/>
    <mergeCell ref="H803:I803"/>
    <mergeCell ref="J803:J804"/>
    <mergeCell ref="A806:E806"/>
    <mergeCell ref="F806:I806"/>
    <mergeCell ref="A807:E807"/>
    <mergeCell ref="F807:I807"/>
    <mergeCell ref="A808:E808"/>
    <mergeCell ref="F808:I808"/>
    <mergeCell ref="A809:E809"/>
    <mergeCell ref="F809:I809"/>
    <mergeCell ref="A810:E810"/>
    <mergeCell ref="F810:I810"/>
    <mergeCell ref="A811:E811"/>
    <mergeCell ref="F811:I811"/>
    <mergeCell ref="H813:I813"/>
    <mergeCell ref="E815:F815"/>
    <mergeCell ref="E816:F816"/>
    <mergeCell ref="A817:A818"/>
    <mergeCell ref="B817:B818"/>
    <mergeCell ref="C817:C818"/>
    <mergeCell ref="D817:D818"/>
    <mergeCell ref="E817:E818"/>
    <mergeCell ref="F817:G817"/>
    <mergeCell ref="H817:I817"/>
    <mergeCell ref="J817:J818"/>
    <mergeCell ref="A820:E820"/>
    <mergeCell ref="F820:I820"/>
    <mergeCell ref="A821:E821"/>
    <mergeCell ref="F821:I821"/>
    <mergeCell ref="A822:E822"/>
    <mergeCell ref="F822:I822"/>
    <mergeCell ref="A823:E823"/>
    <mergeCell ref="F823:I823"/>
    <mergeCell ref="A824:E824"/>
    <mergeCell ref="F824:I824"/>
    <mergeCell ref="A825:E825"/>
    <mergeCell ref="F825:I825"/>
    <mergeCell ref="H827:I827"/>
    <mergeCell ref="E829:F829"/>
    <mergeCell ref="E830:F830"/>
    <mergeCell ref="A831:A832"/>
    <mergeCell ref="B831:B832"/>
    <mergeCell ref="C831:C832"/>
    <mergeCell ref="D831:D832"/>
    <mergeCell ref="E831:E832"/>
    <mergeCell ref="F831:G831"/>
    <mergeCell ref="H831:I831"/>
    <mergeCell ref="J831:J832"/>
    <mergeCell ref="A834:E834"/>
    <mergeCell ref="F834:I834"/>
    <mergeCell ref="A835:E835"/>
    <mergeCell ref="F835:I835"/>
    <mergeCell ref="A836:E836"/>
    <mergeCell ref="F836:I836"/>
    <mergeCell ref="A837:E837"/>
    <mergeCell ref="F837:I837"/>
    <mergeCell ref="A838:E838"/>
    <mergeCell ref="F838:I838"/>
    <mergeCell ref="A839:E839"/>
    <mergeCell ref="F839:I839"/>
    <mergeCell ref="H841:I841"/>
    <mergeCell ref="E843:F843"/>
    <mergeCell ref="E844:F844"/>
    <mergeCell ref="A845:A846"/>
    <mergeCell ref="B845:B846"/>
    <mergeCell ref="C845:C846"/>
    <mergeCell ref="D845:D846"/>
    <mergeCell ref="E845:E846"/>
    <mergeCell ref="F845:G845"/>
    <mergeCell ref="H845:I845"/>
    <mergeCell ref="J845:J846"/>
    <mergeCell ref="A848:E848"/>
    <mergeCell ref="F848:I848"/>
    <mergeCell ref="A849:E849"/>
    <mergeCell ref="F849:I849"/>
    <mergeCell ref="A850:E850"/>
    <mergeCell ref="F850:I850"/>
    <mergeCell ref="A851:E851"/>
    <mergeCell ref="F851:I851"/>
    <mergeCell ref="A852:E852"/>
    <mergeCell ref="F852:I852"/>
    <mergeCell ref="A853:E853"/>
    <mergeCell ref="F853:I853"/>
    <mergeCell ref="H855:I855"/>
    <mergeCell ref="E857:F857"/>
    <mergeCell ref="E858:F858"/>
    <mergeCell ref="A859:A860"/>
    <mergeCell ref="B859:B860"/>
    <mergeCell ref="C859:C860"/>
    <mergeCell ref="D859:D860"/>
    <mergeCell ref="E859:E860"/>
    <mergeCell ref="F859:G859"/>
    <mergeCell ref="H859:I859"/>
    <mergeCell ref="J859:J860"/>
    <mergeCell ref="A862:E862"/>
    <mergeCell ref="F862:I862"/>
    <mergeCell ref="A863:E863"/>
    <mergeCell ref="F863:I863"/>
    <mergeCell ref="A864:E864"/>
    <mergeCell ref="F864:I864"/>
    <mergeCell ref="A865:E865"/>
    <mergeCell ref="F865:I865"/>
    <mergeCell ref="A866:E866"/>
    <mergeCell ref="F866:I866"/>
    <mergeCell ref="A867:E867"/>
    <mergeCell ref="F867:I867"/>
    <mergeCell ref="H869:I869"/>
    <mergeCell ref="E871:F871"/>
    <mergeCell ref="E872:F872"/>
    <mergeCell ref="A873:A874"/>
    <mergeCell ref="B873:B874"/>
    <mergeCell ref="C873:C874"/>
    <mergeCell ref="D873:D874"/>
    <mergeCell ref="E873:E874"/>
    <mergeCell ref="F873:G873"/>
    <mergeCell ref="H873:I873"/>
    <mergeCell ref="J873:J874"/>
    <mergeCell ref="D901:D902"/>
    <mergeCell ref="E901:E902"/>
    <mergeCell ref="F901:G901"/>
    <mergeCell ref="H901:I901"/>
    <mergeCell ref="J901:J902"/>
    <mergeCell ref="A876:E876"/>
    <mergeCell ref="F876:I876"/>
    <mergeCell ref="A877:E877"/>
    <mergeCell ref="F877:I877"/>
    <mergeCell ref="A878:E878"/>
    <mergeCell ref="F878:I878"/>
    <mergeCell ref="A879:E879"/>
    <mergeCell ref="F879:I879"/>
    <mergeCell ref="A880:E880"/>
    <mergeCell ref="F880:I880"/>
    <mergeCell ref="A881:E881"/>
    <mergeCell ref="F881:I881"/>
    <mergeCell ref="H883:I883"/>
    <mergeCell ref="E885:F885"/>
    <mergeCell ref="E886:F886"/>
    <mergeCell ref="A887:A888"/>
    <mergeCell ref="B887:B888"/>
    <mergeCell ref="C887:C888"/>
    <mergeCell ref="D887:D888"/>
    <mergeCell ref="E887:E888"/>
    <mergeCell ref="F887:G887"/>
    <mergeCell ref="H887:I887"/>
    <mergeCell ref="A904:E904"/>
    <mergeCell ref="F904:I904"/>
    <mergeCell ref="A905:E905"/>
    <mergeCell ref="F905:I905"/>
    <mergeCell ref="A906:E906"/>
    <mergeCell ref="F906:I906"/>
    <mergeCell ref="A907:E907"/>
    <mergeCell ref="F907:I907"/>
    <mergeCell ref="A908:E908"/>
    <mergeCell ref="F908:I908"/>
    <mergeCell ref="A909:E909"/>
    <mergeCell ref="F909:I909"/>
    <mergeCell ref="H911:I911"/>
    <mergeCell ref="J887:J888"/>
    <mergeCell ref="A890:E890"/>
    <mergeCell ref="F890:I890"/>
    <mergeCell ref="A891:E891"/>
    <mergeCell ref="F891:I891"/>
    <mergeCell ref="A892:E892"/>
    <mergeCell ref="F892:I892"/>
    <mergeCell ref="A893:E893"/>
    <mergeCell ref="F893:I893"/>
    <mergeCell ref="A894:E894"/>
    <mergeCell ref="F894:I894"/>
    <mergeCell ref="A895:E895"/>
    <mergeCell ref="F895:I895"/>
    <mergeCell ref="H897:I897"/>
    <mergeCell ref="E899:F899"/>
    <mergeCell ref="E900:F900"/>
    <mergeCell ref="A901:A902"/>
    <mergeCell ref="B901:B902"/>
    <mergeCell ref="C901:C902"/>
  </mergeCells>
  <pageMargins left="0.51181102362204722" right="0.51181102362204722" top="0.98425196850393704" bottom="0.98425196850393704" header="0.51181102362204722" footer="0.51181102362204722"/>
  <pageSetup paperSize="9" scale="49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(74) 9973-7075 / alex.araujo@codevasf.gov.br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88DA-4636-40E2-9E30-9C36E7245787}">
  <sheetPr>
    <pageSetUpPr fitToPage="1"/>
  </sheetPr>
  <dimension ref="A1:BI60"/>
  <sheetViews>
    <sheetView view="pageBreakPreview" zoomScaleNormal="100" zoomScaleSheetLayoutView="100" workbookViewId="0">
      <selection activeCell="B21" sqref="B21:F21"/>
    </sheetView>
  </sheetViews>
  <sheetFormatPr defaultRowHeight="12.75" x14ac:dyDescent="0.2"/>
  <cols>
    <col min="1" max="1" width="9" style="3"/>
    <col min="2" max="2" width="30.125" style="3" customWidth="1"/>
    <col min="3" max="3" width="16.875" style="3" customWidth="1"/>
    <col min="4" max="4" width="8" style="3" customWidth="1"/>
    <col min="5" max="5" width="9.625" style="3" customWidth="1"/>
    <col min="6" max="6" width="9" style="3"/>
    <col min="7" max="7" width="4.375" style="3" customWidth="1"/>
    <col min="8" max="8" width="15.375" style="3" customWidth="1"/>
    <col min="9" max="13" width="9" style="3"/>
    <col min="14" max="14" width="2.75" style="3" customWidth="1"/>
    <col min="15" max="255" width="9" style="3"/>
    <col min="256" max="256" width="30.125" style="3" customWidth="1"/>
    <col min="257" max="257" width="16.875" style="3" customWidth="1"/>
    <col min="258" max="258" width="8" style="3" customWidth="1"/>
    <col min="259" max="259" width="9.625" style="3" customWidth="1"/>
    <col min="260" max="260" width="9" style="3"/>
    <col min="261" max="261" width="4.375" style="3" customWidth="1"/>
    <col min="262" max="262" width="15.375" style="3" customWidth="1"/>
    <col min="263" max="267" width="9" style="3"/>
    <col min="268" max="268" width="2.75" style="3" customWidth="1"/>
    <col min="269" max="270" width="0" style="3" hidden="1" customWidth="1"/>
    <col min="271" max="511" width="9" style="3"/>
    <col min="512" max="512" width="30.125" style="3" customWidth="1"/>
    <col min="513" max="513" width="16.875" style="3" customWidth="1"/>
    <col min="514" max="514" width="8" style="3" customWidth="1"/>
    <col min="515" max="515" width="9.625" style="3" customWidth="1"/>
    <col min="516" max="516" width="9" style="3"/>
    <col min="517" max="517" width="4.375" style="3" customWidth="1"/>
    <col min="518" max="518" width="15.375" style="3" customWidth="1"/>
    <col min="519" max="523" width="9" style="3"/>
    <col min="524" max="524" width="2.75" style="3" customWidth="1"/>
    <col min="525" max="526" width="0" style="3" hidden="1" customWidth="1"/>
    <col min="527" max="767" width="9" style="3"/>
    <col min="768" max="768" width="30.125" style="3" customWidth="1"/>
    <col min="769" max="769" width="16.875" style="3" customWidth="1"/>
    <col min="770" max="770" width="8" style="3" customWidth="1"/>
    <col min="771" max="771" width="9.625" style="3" customWidth="1"/>
    <col min="772" max="772" width="9" style="3"/>
    <col min="773" max="773" width="4.375" style="3" customWidth="1"/>
    <col min="774" max="774" width="15.375" style="3" customWidth="1"/>
    <col min="775" max="779" width="9" style="3"/>
    <col min="780" max="780" width="2.75" style="3" customWidth="1"/>
    <col min="781" max="782" width="0" style="3" hidden="1" customWidth="1"/>
    <col min="783" max="1023" width="9" style="3"/>
    <col min="1024" max="1024" width="30.125" style="3" customWidth="1"/>
    <col min="1025" max="1025" width="16.875" style="3" customWidth="1"/>
    <col min="1026" max="1026" width="8" style="3" customWidth="1"/>
    <col min="1027" max="1027" width="9.625" style="3" customWidth="1"/>
    <col min="1028" max="1028" width="9" style="3"/>
    <col min="1029" max="1029" width="4.375" style="3" customWidth="1"/>
    <col min="1030" max="1030" width="15.375" style="3" customWidth="1"/>
    <col min="1031" max="1035" width="9" style="3"/>
    <col min="1036" max="1036" width="2.75" style="3" customWidth="1"/>
    <col min="1037" max="1038" width="0" style="3" hidden="1" customWidth="1"/>
    <col min="1039" max="1279" width="9" style="3"/>
    <col min="1280" max="1280" width="30.125" style="3" customWidth="1"/>
    <col min="1281" max="1281" width="16.875" style="3" customWidth="1"/>
    <col min="1282" max="1282" width="8" style="3" customWidth="1"/>
    <col min="1283" max="1283" width="9.625" style="3" customWidth="1"/>
    <col min="1284" max="1284" width="9" style="3"/>
    <col min="1285" max="1285" width="4.375" style="3" customWidth="1"/>
    <col min="1286" max="1286" width="15.375" style="3" customWidth="1"/>
    <col min="1287" max="1291" width="9" style="3"/>
    <col min="1292" max="1292" width="2.75" style="3" customWidth="1"/>
    <col min="1293" max="1294" width="0" style="3" hidden="1" customWidth="1"/>
    <col min="1295" max="1535" width="9" style="3"/>
    <col min="1536" max="1536" width="30.125" style="3" customWidth="1"/>
    <col min="1537" max="1537" width="16.875" style="3" customWidth="1"/>
    <col min="1538" max="1538" width="8" style="3" customWidth="1"/>
    <col min="1539" max="1539" width="9.625" style="3" customWidth="1"/>
    <col min="1540" max="1540" width="9" style="3"/>
    <col min="1541" max="1541" width="4.375" style="3" customWidth="1"/>
    <col min="1542" max="1542" width="15.375" style="3" customWidth="1"/>
    <col min="1543" max="1547" width="9" style="3"/>
    <col min="1548" max="1548" width="2.75" style="3" customWidth="1"/>
    <col min="1549" max="1550" width="0" style="3" hidden="1" customWidth="1"/>
    <col min="1551" max="1791" width="9" style="3"/>
    <col min="1792" max="1792" width="30.125" style="3" customWidth="1"/>
    <col min="1793" max="1793" width="16.875" style="3" customWidth="1"/>
    <col min="1794" max="1794" width="8" style="3" customWidth="1"/>
    <col min="1795" max="1795" width="9.625" style="3" customWidth="1"/>
    <col min="1796" max="1796" width="9" style="3"/>
    <col min="1797" max="1797" width="4.375" style="3" customWidth="1"/>
    <col min="1798" max="1798" width="15.375" style="3" customWidth="1"/>
    <col min="1799" max="1803" width="9" style="3"/>
    <col min="1804" max="1804" width="2.75" style="3" customWidth="1"/>
    <col min="1805" max="1806" width="0" style="3" hidden="1" customWidth="1"/>
    <col min="1807" max="2047" width="9" style="3"/>
    <col min="2048" max="2048" width="30.125" style="3" customWidth="1"/>
    <col min="2049" max="2049" width="16.875" style="3" customWidth="1"/>
    <col min="2050" max="2050" width="8" style="3" customWidth="1"/>
    <col min="2051" max="2051" width="9.625" style="3" customWidth="1"/>
    <col min="2052" max="2052" width="9" style="3"/>
    <col min="2053" max="2053" width="4.375" style="3" customWidth="1"/>
    <col min="2054" max="2054" width="15.375" style="3" customWidth="1"/>
    <col min="2055" max="2059" width="9" style="3"/>
    <col min="2060" max="2060" width="2.75" style="3" customWidth="1"/>
    <col min="2061" max="2062" width="0" style="3" hidden="1" customWidth="1"/>
    <col min="2063" max="2303" width="9" style="3"/>
    <col min="2304" max="2304" width="30.125" style="3" customWidth="1"/>
    <col min="2305" max="2305" width="16.875" style="3" customWidth="1"/>
    <col min="2306" max="2306" width="8" style="3" customWidth="1"/>
    <col min="2307" max="2307" width="9.625" style="3" customWidth="1"/>
    <col min="2308" max="2308" width="9" style="3"/>
    <col min="2309" max="2309" width="4.375" style="3" customWidth="1"/>
    <col min="2310" max="2310" width="15.375" style="3" customWidth="1"/>
    <col min="2311" max="2315" width="9" style="3"/>
    <col min="2316" max="2316" width="2.75" style="3" customWidth="1"/>
    <col min="2317" max="2318" width="0" style="3" hidden="1" customWidth="1"/>
    <col min="2319" max="2559" width="9" style="3"/>
    <col min="2560" max="2560" width="30.125" style="3" customWidth="1"/>
    <col min="2561" max="2561" width="16.875" style="3" customWidth="1"/>
    <col min="2562" max="2562" width="8" style="3" customWidth="1"/>
    <col min="2563" max="2563" width="9.625" style="3" customWidth="1"/>
    <col min="2564" max="2564" width="9" style="3"/>
    <col min="2565" max="2565" width="4.375" style="3" customWidth="1"/>
    <col min="2566" max="2566" width="15.375" style="3" customWidth="1"/>
    <col min="2567" max="2571" width="9" style="3"/>
    <col min="2572" max="2572" width="2.75" style="3" customWidth="1"/>
    <col min="2573" max="2574" width="0" style="3" hidden="1" customWidth="1"/>
    <col min="2575" max="2815" width="9" style="3"/>
    <col min="2816" max="2816" width="30.125" style="3" customWidth="1"/>
    <col min="2817" max="2817" width="16.875" style="3" customWidth="1"/>
    <col min="2818" max="2818" width="8" style="3" customWidth="1"/>
    <col min="2819" max="2819" width="9.625" style="3" customWidth="1"/>
    <col min="2820" max="2820" width="9" style="3"/>
    <col min="2821" max="2821" width="4.375" style="3" customWidth="1"/>
    <col min="2822" max="2822" width="15.375" style="3" customWidth="1"/>
    <col min="2823" max="2827" width="9" style="3"/>
    <col min="2828" max="2828" width="2.75" style="3" customWidth="1"/>
    <col min="2829" max="2830" width="0" style="3" hidden="1" customWidth="1"/>
    <col min="2831" max="3071" width="9" style="3"/>
    <col min="3072" max="3072" width="30.125" style="3" customWidth="1"/>
    <col min="3073" max="3073" width="16.875" style="3" customWidth="1"/>
    <col min="3074" max="3074" width="8" style="3" customWidth="1"/>
    <col min="3075" max="3075" width="9.625" style="3" customWidth="1"/>
    <col min="3076" max="3076" width="9" style="3"/>
    <col min="3077" max="3077" width="4.375" style="3" customWidth="1"/>
    <col min="3078" max="3078" width="15.375" style="3" customWidth="1"/>
    <col min="3079" max="3083" width="9" style="3"/>
    <col min="3084" max="3084" width="2.75" style="3" customWidth="1"/>
    <col min="3085" max="3086" width="0" style="3" hidden="1" customWidth="1"/>
    <col min="3087" max="3327" width="9" style="3"/>
    <col min="3328" max="3328" width="30.125" style="3" customWidth="1"/>
    <col min="3329" max="3329" width="16.875" style="3" customWidth="1"/>
    <col min="3330" max="3330" width="8" style="3" customWidth="1"/>
    <col min="3331" max="3331" width="9.625" style="3" customWidth="1"/>
    <col min="3332" max="3332" width="9" style="3"/>
    <col min="3333" max="3333" width="4.375" style="3" customWidth="1"/>
    <col min="3334" max="3334" width="15.375" style="3" customWidth="1"/>
    <col min="3335" max="3339" width="9" style="3"/>
    <col min="3340" max="3340" width="2.75" style="3" customWidth="1"/>
    <col min="3341" max="3342" width="0" style="3" hidden="1" customWidth="1"/>
    <col min="3343" max="3583" width="9" style="3"/>
    <col min="3584" max="3584" width="30.125" style="3" customWidth="1"/>
    <col min="3585" max="3585" width="16.875" style="3" customWidth="1"/>
    <col min="3586" max="3586" width="8" style="3" customWidth="1"/>
    <col min="3587" max="3587" width="9.625" style="3" customWidth="1"/>
    <col min="3588" max="3588" width="9" style="3"/>
    <col min="3589" max="3589" width="4.375" style="3" customWidth="1"/>
    <col min="3590" max="3590" width="15.375" style="3" customWidth="1"/>
    <col min="3591" max="3595" width="9" style="3"/>
    <col min="3596" max="3596" width="2.75" style="3" customWidth="1"/>
    <col min="3597" max="3598" width="0" style="3" hidden="1" customWidth="1"/>
    <col min="3599" max="3839" width="9" style="3"/>
    <col min="3840" max="3840" width="30.125" style="3" customWidth="1"/>
    <col min="3841" max="3841" width="16.875" style="3" customWidth="1"/>
    <col min="3842" max="3842" width="8" style="3" customWidth="1"/>
    <col min="3843" max="3843" width="9.625" style="3" customWidth="1"/>
    <col min="3844" max="3844" width="9" style="3"/>
    <col min="3845" max="3845" width="4.375" style="3" customWidth="1"/>
    <col min="3846" max="3846" width="15.375" style="3" customWidth="1"/>
    <col min="3847" max="3851" width="9" style="3"/>
    <col min="3852" max="3852" width="2.75" style="3" customWidth="1"/>
    <col min="3853" max="3854" width="0" style="3" hidden="1" customWidth="1"/>
    <col min="3855" max="4095" width="9" style="3"/>
    <col min="4096" max="4096" width="30.125" style="3" customWidth="1"/>
    <col min="4097" max="4097" width="16.875" style="3" customWidth="1"/>
    <col min="4098" max="4098" width="8" style="3" customWidth="1"/>
    <col min="4099" max="4099" width="9.625" style="3" customWidth="1"/>
    <col min="4100" max="4100" width="9" style="3"/>
    <col min="4101" max="4101" width="4.375" style="3" customWidth="1"/>
    <col min="4102" max="4102" width="15.375" style="3" customWidth="1"/>
    <col min="4103" max="4107" width="9" style="3"/>
    <col min="4108" max="4108" width="2.75" style="3" customWidth="1"/>
    <col min="4109" max="4110" width="0" style="3" hidden="1" customWidth="1"/>
    <col min="4111" max="4351" width="9" style="3"/>
    <col min="4352" max="4352" width="30.125" style="3" customWidth="1"/>
    <col min="4353" max="4353" width="16.875" style="3" customWidth="1"/>
    <col min="4354" max="4354" width="8" style="3" customWidth="1"/>
    <col min="4355" max="4355" width="9.625" style="3" customWidth="1"/>
    <col min="4356" max="4356" width="9" style="3"/>
    <col min="4357" max="4357" width="4.375" style="3" customWidth="1"/>
    <col min="4358" max="4358" width="15.375" style="3" customWidth="1"/>
    <col min="4359" max="4363" width="9" style="3"/>
    <col min="4364" max="4364" width="2.75" style="3" customWidth="1"/>
    <col min="4365" max="4366" width="0" style="3" hidden="1" customWidth="1"/>
    <col min="4367" max="4607" width="9" style="3"/>
    <col min="4608" max="4608" width="30.125" style="3" customWidth="1"/>
    <col min="4609" max="4609" width="16.875" style="3" customWidth="1"/>
    <col min="4610" max="4610" width="8" style="3" customWidth="1"/>
    <col min="4611" max="4611" width="9.625" style="3" customWidth="1"/>
    <col min="4612" max="4612" width="9" style="3"/>
    <col min="4613" max="4613" width="4.375" style="3" customWidth="1"/>
    <col min="4614" max="4614" width="15.375" style="3" customWidth="1"/>
    <col min="4615" max="4619" width="9" style="3"/>
    <col min="4620" max="4620" width="2.75" style="3" customWidth="1"/>
    <col min="4621" max="4622" width="0" style="3" hidden="1" customWidth="1"/>
    <col min="4623" max="4863" width="9" style="3"/>
    <col min="4864" max="4864" width="30.125" style="3" customWidth="1"/>
    <col min="4865" max="4865" width="16.875" style="3" customWidth="1"/>
    <col min="4866" max="4866" width="8" style="3" customWidth="1"/>
    <col min="4867" max="4867" width="9.625" style="3" customWidth="1"/>
    <col min="4868" max="4868" width="9" style="3"/>
    <col min="4869" max="4869" width="4.375" style="3" customWidth="1"/>
    <col min="4870" max="4870" width="15.375" style="3" customWidth="1"/>
    <col min="4871" max="4875" width="9" style="3"/>
    <col min="4876" max="4876" width="2.75" style="3" customWidth="1"/>
    <col min="4877" max="4878" width="0" style="3" hidden="1" customWidth="1"/>
    <col min="4879" max="5119" width="9" style="3"/>
    <col min="5120" max="5120" width="30.125" style="3" customWidth="1"/>
    <col min="5121" max="5121" width="16.875" style="3" customWidth="1"/>
    <col min="5122" max="5122" width="8" style="3" customWidth="1"/>
    <col min="5123" max="5123" width="9.625" style="3" customWidth="1"/>
    <col min="5124" max="5124" width="9" style="3"/>
    <col min="5125" max="5125" width="4.375" style="3" customWidth="1"/>
    <col min="5126" max="5126" width="15.375" style="3" customWidth="1"/>
    <col min="5127" max="5131" width="9" style="3"/>
    <col min="5132" max="5132" width="2.75" style="3" customWidth="1"/>
    <col min="5133" max="5134" width="0" style="3" hidden="1" customWidth="1"/>
    <col min="5135" max="5375" width="9" style="3"/>
    <col min="5376" max="5376" width="30.125" style="3" customWidth="1"/>
    <col min="5377" max="5377" width="16.875" style="3" customWidth="1"/>
    <col min="5378" max="5378" width="8" style="3" customWidth="1"/>
    <col min="5379" max="5379" width="9.625" style="3" customWidth="1"/>
    <col min="5380" max="5380" width="9" style="3"/>
    <col min="5381" max="5381" width="4.375" style="3" customWidth="1"/>
    <col min="5382" max="5382" width="15.375" style="3" customWidth="1"/>
    <col min="5383" max="5387" width="9" style="3"/>
    <col min="5388" max="5388" width="2.75" style="3" customWidth="1"/>
    <col min="5389" max="5390" width="0" style="3" hidden="1" customWidth="1"/>
    <col min="5391" max="5631" width="9" style="3"/>
    <col min="5632" max="5632" width="30.125" style="3" customWidth="1"/>
    <col min="5633" max="5633" width="16.875" style="3" customWidth="1"/>
    <col min="5634" max="5634" width="8" style="3" customWidth="1"/>
    <col min="5635" max="5635" width="9.625" style="3" customWidth="1"/>
    <col min="5636" max="5636" width="9" style="3"/>
    <col min="5637" max="5637" width="4.375" style="3" customWidth="1"/>
    <col min="5638" max="5638" width="15.375" style="3" customWidth="1"/>
    <col min="5639" max="5643" width="9" style="3"/>
    <col min="5644" max="5644" width="2.75" style="3" customWidth="1"/>
    <col min="5645" max="5646" width="0" style="3" hidden="1" customWidth="1"/>
    <col min="5647" max="5887" width="9" style="3"/>
    <col min="5888" max="5888" width="30.125" style="3" customWidth="1"/>
    <col min="5889" max="5889" width="16.875" style="3" customWidth="1"/>
    <col min="5890" max="5890" width="8" style="3" customWidth="1"/>
    <col min="5891" max="5891" width="9.625" style="3" customWidth="1"/>
    <col min="5892" max="5892" width="9" style="3"/>
    <col min="5893" max="5893" width="4.375" style="3" customWidth="1"/>
    <col min="5894" max="5894" width="15.375" style="3" customWidth="1"/>
    <col min="5895" max="5899" width="9" style="3"/>
    <col min="5900" max="5900" width="2.75" style="3" customWidth="1"/>
    <col min="5901" max="5902" width="0" style="3" hidden="1" customWidth="1"/>
    <col min="5903" max="6143" width="9" style="3"/>
    <col min="6144" max="6144" width="30.125" style="3" customWidth="1"/>
    <col min="6145" max="6145" width="16.875" style="3" customWidth="1"/>
    <col min="6146" max="6146" width="8" style="3" customWidth="1"/>
    <col min="6147" max="6147" width="9.625" style="3" customWidth="1"/>
    <col min="6148" max="6148" width="9" style="3"/>
    <col min="6149" max="6149" width="4.375" style="3" customWidth="1"/>
    <col min="6150" max="6150" width="15.375" style="3" customWidth="1"/>
    <col min="6151" max="6155" width="9" style="3"/>
    <col min="6156" max="6156" width="2.75" style="3" customWidth="1"/>
    <col min="6157" max="6158" width="0" style="3" hidden="1" customWidth="1"/>
    <col min="6159" max="6399" width="9" style="3"/>
    <col min="6400" max="6400" width="30.125" style="3" customWidth="1"/>
    <col min="6401" max="6401" width="16.875" style="3" customWidth="1"/>
    <col min="6402" max="6402" width="8" style="3" customWidth="1"/>
    <col min="6403" max="6403" width="9.625" style="3" customWidth="1"/>
    <col min="6404" max="6404" width="9" style="3"/>
    <col min="6405" max="6405" width="4.375" style="3" customWidth="1"/>
    <col min="6406" max="6406" width="15.375" style="3" customWidth="1"/>
    <col min="6407" max="6411" width="9" style="3"/>
    <col min="6412" max="6412" width="2.75" style="3" customWidth="1"/>
    <col min="6413" max="6414" width="0" style="3" hidden="1" customWidth="1"/>
    <col min="6415" max="6655" width="9" style="3"/>
    <col min="6656" max="6656" width="30.125" style="3" customWidth="1"/>
    <col min="6657" max="6657" width="16.875" style="3" customWidth="1"/>
    <col min="6658" max="6658" width="8" style="3" customWidth="1"/>
    <col min="6659" max="6659" width="9.625" style="3" customWidth="1"/>
    <col min="6660" max="6660" width="9" style="3"/>
    <col min="6661" max="6661" width="4.375" style="3" customWidth="1"/>
    <col min="6662" max="6662" width="15.375" style="3" customWidth="1"/>
    <col min="6663" max="6667" width="9" style="3"/>
    <col min="6668" max="6668" width="2.75" style="3" customWidth="1"/>
    <col min="6669" max="6670" width="0" style="3" hidden="1" customWidth="1"/>
    <col min="6671" max="6911" width="9" style="3"/>
    <col min="6912" max="6912" width="30.125" style="3" customWidth="1"/>
    <col min="6913" max="6913" width="16.875" style="3" customWidth="1"/>
    <col min="6914" max="6914" width="8" style="3" customWidth="1"/>
    <col min="6915" max="6915" width="9.625" style="3" customWidth="1"/>
    <col min="6916" max="6916" width="9" style="3"/>
    <col min="6917" max="6917" width="4.375" style="3" customWidth="1"/>
    <col min="6918" max="6918" width="15.375" style="3" customWidth="1"/>
    <col min="6919" max="6923" width="9" style="3"/>
    <col min="6924" max="6924" width="2.75" style="3" customWidth="1"/>
    <col min="6925" max="6926" width="0" style="3" hidden="1" customWidth="1"/>
    <col min="6927" max="7167" width="9" style="3"/>
    <col min="7168" max="7168" width="30.125" style="3" customWidth="1"/>
    <col min="7169" max="7169" width="16.875" style="3" customWidth="1"/>
    <col min="7170" max="7170" width="8" style="3" customWidth="1"/>
    <col min="7171" max="7171" width="9.625" style="3" customWidth="1"/>
    <col min="7172" max="7172" width="9" style="3"/>
    <col min="7173" max="7173" width="4.375" style="3" customWidth="1"/>
    <col min="7174" max="7174" width="15.375" style="3" customWidth="1"/>
    <col min="7175" max="7179" width="9" style="3"/>
    <col min="7180" max="7180" width="2.75" style="3" customWidth="1"/>
    <col min="7181" max="7182" width="0" style="3" hidden="1" customWidth="1"/>
    <col min="7183" max="7423" width="9" style="3"/>
    <col min="7424" max="7424" width="30.125" style="3" customWidth="1"/>
    <col min="7425" max="7425" width="16.875" style="3" customWidth="1"/>
    <col min="7426" max="7426" width="8" style="3" customWidth="1"/>
    <col min="7427" max="7427" width="9.625" style="3" customWidth="1"/>
    <col min="7428" max="7428" width="9" style="3"/>
    <col min="7429" max="7429" width="4.375" style="3" customWidth="1"/>
    <col min="7430" max="7430" width="15.375" style="3" customWidth="1"/>
    <col min="7431" max="7435" width="9" style="3"/>
    <col min="7436" max="7436" width="2.75" style="3" customWidth="1"/>
    <col min="7437" max="7438" width="0" style="3" hidden="1" customWidth="1"/>
    <col min="7439" max="7679" width="9" style="3"/>
    <col min="7680" max="7680" width="30.125" style="3" customWidth="1"/>
    <col min="7681" max="7681" width="16.875" style="3" customWidth="1"/>
    <col min="7682" max="7682" width="8" style="3" customWidth="1"/>
    <col min="7683" max="7683" width="9.625" style="3" customWidth="1"/>
    <col min="7684" max="7684" width="9" style="3"/>
    <col min="7685" max="7685" width="4.375" style="3" customWidth="1"/>
    <col min="7686" max="7686" width="15.375" style="3" customWidth="1"/>
    <col min="7687" max="7691" width="9" style="3"/>
    <col min="7692" max="7692" width="2.75" style="3" customWidth="1"/>
    <col min="7693" max="7694" width="0" style="3" hidden="1" customWidth="1"/>
    <col min="7695" max="7935" width="9" style="3"/>
    <col min="7936" max="7936" width="30.125" style="3" customWidth="1"/>
    <col min="7937" max="7937" width="16.875" style="3" customWidth="1"/>
    <col min="7938" max="7938" width="8" style="3" customWidth="1"/>
    <col min="7939" max="7939" width="9.625" style="3" customWidth="1"/>
    <col min="7940" max="7940" width="9" style="3"/>
    <col min="7941" max="7941" width="4.375" style="3" customWidth="1"/>
    <col min="7942" max="7942" width="15.375" style="3" customWidth="1"/>
    <col min="7943" max="7947" width="9" style="3"/>
    <col min="7948" max="7948" width="2.75" style="3" customWidth="1"/>
    <col min="7949" max="7950" width="0" style="3" hidden="1" customWidth="1"/>
    <col min="7951" max="8191" width="9" style="3"/>
    <col min="8192" max="8192" width="30.125" style="3" customWidth="1"/>
    <col min="8193" max="8193" width="16.875" style="3" customWidth="1"/>
    <col min="8194" max="8194" width="8" style="3" customWidth="1"/>
    <col min="8195" max="8195" width="9.625" style="3" customWidth="1"/>
    <col min="8196" max="8196" width="9" style="3"/>
    <col min="8197" max="8197" width="4.375" style="3" customWidth="1"/>
    <col min="8198" max="8198" width="15.375" style="3" customWidth="1"/>
    <col min="8199" max="8203" width="9" style="3"/>
    <col min="8204" max="8204" width="2.75" style="3" customWidth="1"/>
    <col min="8205" max="8206" width="0" style="3" hidden="1" customWidth="1"/>
    <col min="8207" max="8447" width="9" style="3"/>
    <col min="8448" max="8448" width="30.125" style="3" customWidth="1"/>
    <col min="8449" max="8449" width="16.875" style="3" customWidth="1"/>
    <col min="8450" max="8450" width="8" style="3" customWidth="1"/>
    <col min="8451" max="8451" width="9.625" style="3" customWidth="1"/>
    <col min="8452" max="8452" width="9" style="3"/>
    <col min="8453" max="8453" width="4.375" style="3" customWidth="1"/>
    <col min="8454" max="8454" width="15.375" style="3" customWidth="1"/>
    <col min="8455" max="8459" width="9" style="3"/>
    <col min="8460" max="8460" width="2.75" style="3" customWidth="1"/>
    <col min="8461" max="8462" width="0" style="3" hidden="1" customWidth="1"/>
    <col min="8463" max="8703" width="9" style="3"/>
    <col min="8704" max="8704" width="30.125" style="3" customWidth="1"/>
    <col min="8705" max="8705" width="16.875" style="3" customWidth="1"/>
    <col min="8706" max="8706" width="8" style="3" customWidth="1"/>
    <col min="8707" max="8707" width="9.625" style="3" customWidth="1"/>
    <col min="8708" max="8708" width="9" style="3"/>
    <col min="8709" max="8709" width="4.375" style="3" customWidth="1"/>
    <col min="8710" max="8710" width="15.375" style="3" customWidth="1"/>
    <col min="8711" max="8715" width="9" style="3"/>
    <col min="8716" max="8716" width="2.75" style="3" customWidth="1"/>
    <col min="8717" max="8718" width="0" style="3" hidden="1" customWidth="1"/>
    <col min="8719" max="8959" width="9" style="3"/>
    <col min="8960" max="8960" width="30.125" style="3" customWidth="1"/>
    <col min="8961" max="8961" width="16.875" style="3" customWidth="1"/>
    <col min="8962" max="8962" width="8" style="3" customWidth="1"/>
    <col min="8963" max="8963" width="9.625" style="3" customWidth="1"/>
    <col min="8964" max="8964" width="9" style="3"/>
    <col min="8965" max="8965" width="4.375" style="3" customWidth="1"/>
    <col min="8966" max="8966" width="15.375" style="3" customWidth="1"/>
    <col min="8967" max="8971" width="9" style="3"/>
    <col min="8972" max="8972" width="2.75" style="3" customWidth="1"/>
    <col min="8973" max="8974" width="0" style="3" hidden="1" customWidth="1"/>
    <col min="8975" max="9215" width="9" style="3"/>
    <col min="9216" max="9216" width="30.125" style="3" customWidth="1"/>
    <col min="9217" max="9217" width="16.875" style="3" customWidth="1"/>
    <col min="9218" max="9218" width="8" style="3" customWidth="1"/>
    <col min="9219" max="9219" width="9.625" style="3" customWidth="1"/>
    <col min="9220" max="9220" width="9" style="3"/>
    <col min="9221" max="9221" width="4.375" style="3" customWidth="1"/>
    <col min="9222" max="9222" width="15.375" style="3" customWidth="1"/>
    <col min="9223" max="9227" width="9" style="3"/>
    <col min="9228" max="9228" width="2.75" style="3" customWidth="1"/>
    <col min="9229" max="9230" width="0" style="3" hidden="1" customWidth="1"/>
    <col min="9231" max="9471" width="9" style="3"/>
    <col min="9472" max="9472" width="30.125" style="3" customWidth="1"/>
    <col min="9473" max="9473" width="16.875" style="3" customWidth="1"/>
    <col min="9474" max="9474" width="8" style="3" customWidth="1"/>
    <col min="9475" max="9475" width="9.625" style="3" customWidth="1"/>
    <col min="9476" max="9476" width="9" style="3"/>
    <col min="9477" max="9477" width="4.375" style="3" customWidth="1"/>
    <col min="9478" max="9478" width="15.375" style="3" customWidth="1"/>
    <col min="9479" max="9483" width="9" style="3"/>
    <col min="9484" max="9484" width="2.75" style="3" customWidth="1"/>
    <col min="9485" max="9486" width="0" style="3" hidden="1" customWidth="1"/>
    <col min="9487" max="9727" width="9" style="3"/>
    <col min="9728" max="9728" width="30.125" style="3" customWidth="1"/>
    <col min="9729" max="9729" width="16.875" style="3" customWidth="1"/>
    <col min="9730" max="9730" width="8" style="3" customWidth="1"/>
    <col min="9731" max="9731" width="9.625" style="3" customWidth="1"/>
    <col min="9732" max="9732" width="9" style="3"/>
    <col min="9733" max="9733" width="4.375" style="3" customWidth="1"/>
    <col min="9734" max="9734" width="15.375" style="3" customWidth="1"/>
    <col min="9735" max="9739" width="9" style="3"/>
    <col min="9740" max="9740" width="2.75" style="3" customWidth="1"/>
    <col min="9741" max="9742" width="0" style="3" hidden="1" customWidth="1"/>
    <col min="9743" max="9983" width="9" style="3"/>
    <col min="9984" max="9984" width="30.125" style="3" customWidth="1"/>
    <col min="9985" max="9985" width="16.875" style="3" customWidth="1"/>
    <col min="9986" max="9986" width="8" style="3" customWidth="1"/>
    <col min="9987" max="9987" width="9.625" style="3" customWidth="1"/>
    <col min="9988" max="9988" width="9" style="3"/>
    <col min="9989" max="9989" width="4.375" style="3" customWidth="1"/>
    <col min="9990" max="9990" width="15.375" style="3" customWidth="1"/>
    <col min="9991" max="9995" width="9" style="3"/>
    <col min="9996" max="9996" width="2.75" style="3" customWidth="1"/>
    <col min="9997" max="9998" width="0" style="3" hidden="1" customWidth="1"/>
    <col min="9999" max="10239" width="9" style="3"/>
    <col min="10240" max="10240" width="30.125" style="3" customWidth="1"/>
    <col min="10241" max="10241" width="16.875" style="3" customWidth="1"/>
    <col min="10242" max="10242" width="8" style="3" customWidth="1"/>
    <col min="10243" max="10243" width="9.625" style="3" customWidth="1"/>
    <col min="10244" max="10244" width="9" style="3"/>
    <col min="10245" max="10245" width="4.375" style="3" customWidth="1"/>
    <col min="10246" max="10246" width="15.375" style="3" customWidth="1"/>
    <col min="10247" max="10251" width="9" style="3"/>
    <col min="10252" max="10252" width="2.75" style="3" customWidth="1"/>
    <col min="10253" max="10254" width="0" style="3" hidden="1" customWidth="1"/>
    <col min="10255" max="10495" width="9" style="3"/>
    <col min="10496" max="10496" width="30.125" style="3" customWidth="1"/>
    <col min="10497" max="10497" width="16.875" style="3" customWidth="1"/>
    <col min="10498" max="10498" width="8" style="3" customWidth="1"/>
    <col min="10499" max="10499" width="9.625" style="3" customWidth="1"/>
    <col min="10500" max="10500" width="9" style="3"/>
    <col min="10501" max="10501" width="4.375" style="3" customWidth="1"/>
    <col min="10502" max="10502" width="15.375" style="3" customWidth="1"/>
    <col min="10503" max="10507" width="9" style="3"/>
    <col min="10508" max="10508" width="2.75" style="3" customWidth="1"/>
    <col min="10509" max="10510" width="0" style="3" hidden="1" customWidth="1"/>
    <col min="10511" max="10751" width="9" style="3"/>
    <col min="10752" max="10752" width="30.125" style="3" customWidth="1"/>
    <col min="10753" max="10753" width="16.875" style="3" customWidth="1"/>
    <col min="10754" max="10754" width="8" style="3" customWidth="1"/>
    <col min="10755" max="10755" width="9.625" style="3" customWidth="1"/>
    <col min="10756" max="10756" width="9" style="3"/>
    <col min="10757" max="10757" width="4.375" style="3" customWidth="1"/>
    <col min="10758" max="10758" width="15.375" style="3" customWidth="1"/>
    <col min="10759" max="10763" width="9" style="3"/>
    <col min="10764" max="10764" width="2.75" style="3" customWidth="1"/>
    <col min="10765" max="10766" width="0" style="3" hidden="1" customWidth="1"/>
    <col min="10767" max="11007" width="9" style="3"/>
    <col min="11008" max="11008" width="30.125" style="3" customWidth="1"/>
    <col min="11009" max="11009" width="16.875" style="3" customWidth="1"/>
    <col min="11010" max="11010" width="8" style="3" customWidth="1"/>
    <col min="11011" max="11011" width="9.625" style="3" customWidth="1"/>
    <col min="11012" max="11012" width="9" style="3"/>
    <col min="11013" max="11013" width="4.375" style="3" customWidth="1"/>
    <col min="11014" max="11014" width="15.375" style="3" customWidth="1"/>
    <col min="11015" max="11019" width="9" style="3"/>
    <col min="11020" max="11020" width="2.75" style="3" customWidth="1"/>
    <col min="11021" max="11022" width="0" style="3" hidden="1" customWidth="1"/>
    <col min="11023" max="11263" width="9" style="3"/>
    <col min="11264" max="11264" width="30.125" style="3" customWidth="1"/>
    <col min="11265" max="11265" width="16.875" style="3" customWidth="1"/>
    <col min="11266" max="11266" width="8" style="3" customWidth="1"/>
    <col min="11267" max="11267" width="9.625" style="3" customWidth="1"/>
    <col min="11268" max="11268" width="9" style="3"/>
    <col min="11269" max="11269" width="4.375" style="3" customWidth="1"/>
    <col min="11270" max="11270" width="15.375" style="3" customWidth="1"/>
    <col min="11271" max="11275" width="9" style="3"/>
    <col min="11276" max="11276" width="2.75" style="3" customWidth="1"/>
    <col min="11277" max="11278" width="0" style="3" hidden="1" customWidth="1"/>
    <col min="11279" max="11519" width="9" style="3"/>
    <col min="11520" max="11520" width="30.125" style="3" customWidth="1"/>
    <col min="11521" max="11521" width="16.875" style="3" customWidth="1"/>
    <col min="11522" max="11522" width="8" style="3" customWidth="1"/>
    <col min="11523" max="11523" width="9.625" style="3" customWidth="1"/>
    <col min="11524" max="11524" width="9" style="3"/>
    <col min="11525" max="11525" width="4.375" style="3" customWidth="1"/>
    <col min="11526" max="11526" width="15.375" style="3" customWidth="1"/>
    <col min="11527" max="11531" width="9" style="3"/>
    <col min="11532" max="11532" width="2.75" style="3" customWidth="1"/>
    <col min="11533" max="11534" width="0" style="3" hidden="1" customWidth="1"/>
    <col min="11535" max="11775" width="9" style="3"/>
    <col min="11776" max="11776" width="30.125" style="3" customWidth="1"/>
    <col min="11777" max="11777" width="16.875" style="3" customWidth="1"/>
    <col min="11778" max="11778" width="8" style="3" customWidth="1"/>
    <col min="11779" max="11779" width="9.625" style="3" customWidth="1"/>
    <col min="11780" max="11780" width="9" style="3"/>
    <col min="11781" max="11781" width="4.375" style="3" customWidth="1"/>
    <col min="11782" max="11782" width="15.375" style="3" customWidth="1"/>
    <col min="11783" max="11787" width="9" style="3"/>
    <col min="11788" max="11788" width="2.75" style="3" customWidth="1"/>
    <col min="11789" max="11790" width="0" style="3" hidden="1" customWidth="1"/>
    <col min="11791" max="12031" width="9" style="3"/>
    <col min="12032" max="12032" width="30.125" style="3" customWidth="1"/>
    <col min="12033" max="12033" width="16.875" style="3" customWidth="1"/>
    <col min="12034" max="12034" width="8" style="3" customWidth="1"/>
    <col min="12035" max="12035" width="9.625" style="3" customWidth="1"/>
    <col min="12036" max="12036" width="9" style="3"/>
    <col min="12037" max="12037" width="4.375" style="3" customWidth="1"/>
    <col min="12038" max="12038" width="15.375" style="3" customWidth="1"/>
    <col min="12039" max="12043" width="9" style="3"/>
    <col min="12044" max="12044" width="2.75" style="3" customWidth="1"/>
    <col min="12045" max="12046" width="0" style="3" hidden="1" customWidth="1"/>
    <col min="12047" max="12287" width="9" style="3"/>
    <col min="12288" max="12288" width="30.125" style="3" customWidth="1"/>
    <col min="12289" max="12289" width="16.875" style="3" customWidth="1"/>
    <col min="12290" max="12290" width="8" style="3" customWidth="1"/>
    <col min="12291" max="12291" width="9.625" style="3" customWidth="1"/>
    <col min="12292" max="12292" width="9" style="3"/>
    <col min="12293" max="12293" width="4.375" style="3" customWidth="1"/>
    <col min="12294" max="12294" width="15.375" style="3" customWidth="1"/>
    <col min="12295" max="12299" width="9" style="3"/>
    <col min="12300" max="12300" width="2.75" style="3" customWidth="1"/>
    <col min="12301" max="12302" width="0" style="3" hidden="1" customWidth="1"/>
    <col min="12303" max="12543" width="9" style="3"/>
    <col min="12544" max="12544" width="30.125" style="3" customWidth="1"/>
    <col min="12545" max="12545" width="16.875" style="3" customWidth="1"/>
    <col min="12546" max="12546" width="8" style="3" customWidth="1"/>
    <col min="12547" max="12547" width="9.625" style="3" customWidth="1"/>
    <col min="12548" max="12548" width="9" style="3"/>
    <col min="12549" max="12549" width="4.375" style="3" customWidth="1"/>
    <col min="12550" max="12550" width="15.375" style="3" customWidth="1"/>
    <col min="12551" max="12555" width="9" style="3"/>
    <col min="12556" max="12556" width="2.75" style="3" customWidth="1"/>
    <col min="12557" max="12558" width="0" style="3" hidden="1" customWidth="1"/>
    <col min="12559" max="12799" width="9" style="3"/>
    <col min="12800" max="12800" width="30.125" style="3" customWidth="1"/>
    <col min="12801" max="12801" width="16.875" style="3" customWidth="1"/>
    <col min="12802" max="12802" width="8" style="3" customWidth="1"/>
    <col min="12803" max="12803" width="9.625" style="3" customWidth="1"/>
    <col min="12804" max="12804" width="9" style="3"/>
    <col min="12805" max="12805" width="4.375" style="3" customWidth="1"/>
    <col min="12806" max="12806" width="15.375" style="3" customWidth="1"/>
    <col min="12807" max="12811" width="9" style="3"/>
    <col min="12812" max="12812" width="2.75" style="3" customWidth="1"/>
    <col min="12813" max="12814" width="0" style="3" hidden="1" customWidth="1"/>
    <col min="12815" max="13055" width="9" style="3"/>
    <col min="13056" max="13056" width="30.125" style="3" customWidth="1"/>
    <col min="13057" max="13057" width="16.875" style="3" customWidth="1"/>
    <col min="13058" max="13058" width="8" style="3" customWidth="1"/>
    <col min="13059" max="13059" width="9.625" style="3" customWidth="1"/>
    <col min="13060" max="13060" width="9" style="3"/>
    <col min="13061" max="13061" width="4.375" style="3" customWidth="1"/>
    <col min="13062" max="13062" width="15.375" style="3" customWidth="1"/>
    <col min="13063" max="13067" width="9" style="3"/>
    <col min="13068" max="13068" width="2.75" style="3" customWidth="1"/>
    <col min="13069" max="13070" width="0" style="3" hidden="1" customWidth="1"/>
    <col min="13071" max="13311" width="9" style="3"/>
    <col min="13312" max="13312" width="30.125" style="3" customWidth="1"/>
    <col min="13313" max="13313" width="16.875" style="3" customWidth="1"/>
    <col min="13314" max="13314" width="8" style="3" customWidth="1"/>
    <col min="13315" max="13315" width="9.625" style="3" customWidth="1"/>
    <col min="13316" max="13316" width="9" style="3"/>
    <col min="13317" max="13317" width="4.375" style="3" customWidth="1"/>
    <col min="13318" max="13318" width="15.375" style="3" customWidth="1"/>
    <col min="13319" max="13323" width="9" style="3"/>
    <col min="13324" max="13324" width="2.75" style="3" customWidth="1"/>
    <col min="13325" max="13326" width="0" style="3" hidden="1" customWidth="1"/>
    <col min="13327" max="13567" width="9" style="3"/>
    <col min="13568" max="13568" width="30.125" style="3" customWidth="1"/>
    <col min="13569" max="13569" width="16.875" style="3" customWidth="1"/>
    <col min="13570" max="13570" width="8" style="3" customWidth="1"/>
    <col min="13571" max="13571" width="9.625" style="3" customWidth="1"/>
    <col min="13572" max="13572" width="9" style="3"/>
    <col min="13573" max="13573" width="4.375" style="3" customWidth="1"/>
    <col min="13574" max="13574" width="15.375" style="3" customWidth="1"/>
    <col min="13575" max="13579" width="9" style="3"/>
    <col min="13580" max="13580" width="2.75" style="3" customWidth="1"/>
    <col min="13581" max="13582" width="0" style="3" hidden="1" customWidth="1"/>
    <col min="13583" max="13823" width="9" style="3"/>
    <col min="13824" max="13824" width="30.125" style="3" customWidth="1"/>
    <col min="13825" max="13825" width="16.875" style="3" customWidth="1"/>
    <col min="13826" max="13826" width="8" style="3" customWidth="1"/>
    <col min="13827" max="13827" width="9.625" style="3" customWidth="1"/>
    <col min="13828" max="13828" width="9" style="3"/>
    <col min="13829" max="13829" width="4.375" style="3" customWidth="1"/>
    <col min="13830" max="13830" width="15.375" style="3" customWidth="1"/>
    <col min="13831" max="13835" width="9" style="3"/>
    <col min="13836" max="13836" width="2.75" style="3" customWidth="1"/>
    <col min="13837" max="13838" width="0" style="3" hidden="1" customWidth="1"/>
    <col min="13839" max="14079" width="9" style="3"/>
    <col min="14080" max="14080" width="30.125" style="3" customWidth="1"/>
    <col min="14081" max="14081" width="16.875" style="3" customWidth="1"/>
    <col min="14082" max="14082" width="8" style="3" customWidth="1"/>
    <col min="14083" max="14083" width="9.625" style="3" customWidth="1"/>
    <col min="14084" max="14084" width="9" style="3"/>
    <col min="14085" max="14085" width="4.375" style="3" customWidth="1"/>
    <col min="14086" max="14086" width="15.375" style="3" customWidth="1"/>
    <col min="14087" max="14091" width="9" style="3"/>
    <col min="14092" max="14092" width="2.75" style="3" customWidth="1"/>
    <col min="14093" max="14094" width="0" style="3" hidden="1" customWidth="1"/>
    <col min="14095" max="14335" width="9" style="3"/>
    <col min="14336" max="14336" width="30.125" style="3" customWidth="1"/>
    <col min="14337" max="14337" width="16.875" style="3" customWidth="1"/>
    <col min="14338" max="14338" width="8" style="3" customWidth="1"/>
    <col min="14339" max="14339" width="9.625" style="3" customWidth="1"/>
    <col min="14340" max="14340" width="9" style="3"/>
    <col min="14341" max="14341" width="4.375" style="3" customWidth="1"/>
    <col min="14342" max="14342" width="15.375" style="3" customWidth="1"/>
    <col min="14343" max="14347" width="9" style="3"/>
    <col min="14348" max="14348" width="2.75" style="3" customWidth="1"/>
    <col min="14349" max="14350" width="0" style="3" hidden="1" customWidth="1"/>
    <col min="14351" max="14591" width="9" style="3"/>
    <col min="14592" max="14592" width="30.125" style="3" customWidth="1"/>
    <col min="14593" max="14593" width="16.875" style="3" customWidth="1"/>
    <col min="14594" max="14594" width="8" style="3" customWidth="1"/>
    <col min="14595" max="14595" width="9.625" style="3" customWidth="1"/>
    <col min="14596" max="14596" width="9" style="3"/>
    <col min="14597" max="14597" width="4.375" style="3" customWidth="1"/>
    <col min="14598" max="14598" width="15.375" style="3" customWidth="1"/>
    <col min="14599" max="14603" width="9" style="3"/>
    <col min="14604" max="14604" width="2.75" style="3" customWidth="1"/>
    <col min="14605" max="14606" width="0" style="3" hidden="1" customWidth="1"/>
    <col min="14607" max="14847" width="9" style="3"/>
    <col min="14848" max="14848" width="30.125" style="3" customWidth="1"/>
    <col min="14849" max="14849" width="16.875" style="3" customWidth="1"/>
    <col min="14850" max="14850" width="8" style="3" customWidth="1"/>
    <col min="14851" max="14851" width="9.625" style="3" customWidth="1"/>
    <col min="14852" max="14852" width="9" style="3"/>
    <col min="14853" max="14853" width="4.375" style="3" customWidth="1"/>
    <col min="14854" max="14854" width="15.375" style="3" customWidth="1"/>
    <col min="14855" max="14859" width="9" style="3"/>
    <col min="14860" max="14860" width="2.75" style="3" customWidth="1"/>
    <col min="14861" max="14862" width="0" style="3" hidden="1" customWidth="1"/>
    <col min="14863" max="15103" width="9" style="3"/>
    <col min="15104" max="15104" width="30.125" style="3" customWidth="1"/>
    <col min="15105" max="15105" width="16.875" style="3" customWidth="1"/>
    <col min="15106" max="15106" width="8" style="3" customWidth="1"/>
    <col min="15107" max="15107" width="9.625" style="3" customWidth="1"/>
    <col min="15108" max="15108" width="9" style="3"/>
    <col min="15109" max="15109" width="4.375" style="3" customWidth="1"/>
    <col min="15110" max="15110" width="15.375" style="3" customWidth="1"/>
    <col min="15111" max="15115" width="9" style="3"/>
    <col min="15116" max="15116" width="2.75" style="3" customWidth="1"/>
    <col min="15117" max="15118" width="0" style="3" hidden="1" customWidth="1"/>
    <col min="15119" max="15359" width="9" style="3"/>
    <col min="15360" max="15360" width="30.125" style="3" customWidth="1"/>
    <col min="15361" max="15361" width="16.875" style="3" customWidth="1"/>
    <col min="15362" max="15362" width="8" style="3" customWidth="1"/>
    <col min="15363" max="15363" width="9.625" style="3" customWidth="1"/>
    <col min="15364" max="15364" width="9" style="3"/>
    <col min="15365" max="15365" width="4.375" style="3" customWidth="1"/>
    <col min="15366" max="15366" width="15.375" style="3" customWidth="1"/>
    <col min="15367" max="15371" width="9" style="3"/>
    <col min="15372" max="15372" width="2.75" style="3" customWidth="1"/>
    <col min="15373" max="15374" width="0" style="3" hidden="1" customWidth="1"/>
    <col min="15375" max="15615" width="9" style="3"/>
    <col min="15616" max="15616" width="30.125" style="3" customWidth="1"/>
    <col min="15617" max="15617" width="16.875" style="3" customWidth="1"/>
    <col min="15618" max="15618" width="8" style="3" customWidth="1"/>
    <col min="15619" max="15619" width="9.625" style="3" customWidth="1"/>
    <col min="15620" max="15620" width="9" style="3"/>
    <col min="15621" max="15621" width="4.375" style="3" customWidth="1"/>
    <col min="15622" max="15622" width="15.375" style="3" customWidth="1"/>
    <col min="15623" max="15627" width="9" style="3"/>
    <col min="15628" max="15628" width="2.75" style="3" customWidth="1"/>
    <col min="15629" max="15630" width="0" style="3" hidden="1" customWidth="1"/>
    <col min="15631" max="15871" width="9" style="3"/>
    <col min="15872" max="15872" width="30.125" style="3" customWidth="1"/>
    <col min="15873" max="15873" width="16.875" style="3" customWidth="1"/>
    <col min="15874" max="15874" width="8" style="3" customWidth="1"/>
    <col min="15875" max="15875" width="9.625" style="3" customWidth="1"/>
    <col min="15876" max="15876" width="9" style="3"/>
    <col min="15877" max="15877" width="4.375" style="3" customWidth="1"/>
    <col min="15878" max="15878" width="15.375" style="3" customWidth="1"/>
    <col min="15879" max="15883" width="9" style="3"/>
    <col min="15884" max="15884" width="2.75" style="3" customWidth="1"/>
    <col min="15885" max="15886" width="0" style="3" hidden="1" customWidth="1"/>
    <col min="15887" max="16127" width="9" style="3"/>
    <col min="16128" max="16128" width="30.125" style="3" customWidth="1"/>
    <col min="16129" max="16129" width="16.875" style="3" customWidth="1"/>
    <col min="16130" max="16130" width="8" style="3" customWidth="1"/>
    <col min="16131" max="16131" width="9.625" style="3" customWidth="1"/>
    <col min="16132" max="16132" width="9" style="3"/>
    <col min="16133" max="16133" width="4.375" style="3" customWidth="1"/>
    <col min="16134" max="16134" width="15.375" style="3" customWidth="1"/>
    <col min="16135" max="16139" width="9" style="3"/>
    <col min="16140" max="16140" width="2.75" style="3" customWidth="1"/>
    <col min="16141" max="16142" width="0" style="3" hidden="1" customWidth="1"/>
    <col min="16143" max="16384" width="9" style="3"/>
  </cols>
  <sheetData>
    <row r="1" spans="1:14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" customHeight="1" x14ac:dyDescent="0.2">
      <c r="A2" s="486"/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</row>
    <row r="3" spans="1:14" ht="18" customHeight="1" x14ac:dyDescent="0.2">
      <c r="A3" s="488"/>
      <c r="B3" s="489"/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</row>
    <row r="4" spans="1:14" ht="18" customHeight="1" x14ac:dyDescent="0.2">
      <c r="A4" s="488"/>
      <c r="B4" s="489"/>
      <c r="C4" s="4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</row>
    <row r="5" spans="1:14" ht="41.25" customHeight="1" x14ac:dyDescent="0.2">
      <c r="A5" s="490" t="str">
        <f>CPUs!C2</f>
        <v>EXECUÇÃO DE SERVIÇOS DE PAVIMENTAÇÃO COM TRATAMENTO SUPERFICIAL DUPLO EM VIAS DOS MUNICÍPIOS DIVERSOS INSERIDOS NA ÁREA DE ATUAÇÃO DA 6ª SUPERINTENDÊNCIA DA CODEVASF EM JUAZEIRO/BA - LOTE 01</v>
      </c>
      <c r="B5" s="491"/>
      <c r="C5" s="491"/>
      <c r="D5" s="491"/>
      <c r="E5" s="491"/>
      <c r="F5" s="491"/>
      <c r="G5" s="491"/>
      <c r="H5" s="491"/>
      <c r="I5" s="491"/>
      <c r="J5" s="491"/>
      <c r="K5" s="491"/>
      <c r="L5" s="491"/>
      <c r="M5" s="491"/>
      <c r="N5" s="492"/>
    </row>
    <row r="6" spans="1:14" ht="18" customHeight="1" x14ac:dyDescent="0.25">
      <c r="A6" s="4"/>
      <c r="B6" s="5"/>
      <c r="C6" s="5"/>
      <c r="D6" s="6"/>
      <c r="E6" s="7"/>
      <c r="F6" s="8"/>
      <c r="G6" s="8"/>
      <c r="H6" s="8"/>
      <c r="I6" s="8"/>
      <c r="J6" s="9"/>
      <c r="K6" s="9"/>
      <c r="L6" s="9"/>
      <c r="M6" s="9"/>
      <c r="N6" s="10"/>
    </row>
    <row r="7" spans="1:14" x14ac:dyDescent="0.2">
      <c r="A7" s="493" t="s">
        <v>33</v>
      </c>
      <c r="B7" s="494"/>
      <c r="C7" s="494"/>
      <c r="D7" s="494"/>
      <c r="E7" s="494"/>
      <c r="F7" s="494"/>
      <c r="G7" s="494"/>
      <c r="H7" s="494"/>
      <c r="I7" s="494"/>
      <c r="J7" s="494"/>
      <c r="K7" s="494"/>
      <c r="L7" s="494"/>
      <c r="M7" s="494"/>
      <c r="N7" s="495"/>
    </row>
    <row r="8" spans="1:14" x14ac:dyDescent="0.2">
      <c r="A8" s="493"/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494"/>
      <c r="N8" s="495"/>
    </row>
    <row r="9" spans="1:14" ht="15.75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14" ht="15.75" x14ac:dyDescent="0.25">
      <c r="A10" s="484" t="s">
        <v>34</v>
      </c>
      <c r="B10" s="485"/>
      <c r="C10" s="14"/>
      <c r="D10" s="14"/>
      <c r="E10" s="14"/>
      <c r="F10" s="14"/>
      <c r="G10" s="14"/>
      <c r="H10" s="15"/>
      <c r="I10" s="14"/>
      <c r="J10" s="16"/>
      <c r="K10" s="16"/>
      <c r="L10" s="16"/>
      <c r="M10" s="16"/>
      <c r="N10" s="17"/>
    </row>
    <row r="11" spans="1:14" x14ac:dyDescent="0.2">
      <c r="A11" s="496" t="s">
        <v>608</v>
      </c>
      <c r="B11" s="497"/>
      <c r="C11" s="497"/>
      <c r="D11" s="497"/>
      <c r="E11" s="497"/>
      <c r="F11" s="497"/>
      <c r="G11" s="497"/>
      <c r="H11" s="497"/>
      <c r="I11" s="497"/>
      <c r="J11" s="497"/>
      <c r="K11" s="497"/>
      <c r="L11" s="497"/>
      <c r="M11" s="497"/>
      <c r="N11" s="498"/>
    </row>
    <row r="12" spans="1:14" ht="15.75" x14ac:dyDescent="0.25">
      <c r="A12" s="484" t="s">
        <v>35</v>
      </c>
      <c r="B12" s="485"/>
      <c r="C12" s="14"/>
      <c r="D12" s="14"/>
      <c r="E12" s="14"/>
      <c r="F12" s="14"/>
      <c r="G12" s="14"/>
      <c r="H12" s="15"/>
      <c r="I12" s="14"/>
      <c r="J12" s="16"/>
      <c r="K12" s="16"/>
      <c r="L12" s="16"/>
      <c r="M12" s="16"/>
      <c r="N12" s="17"/>
    </row>
    <row r="13" spans="1:14" ht="15.75" x14ac:dyDescent="0.25">
      <c r="A13" s="11"/>
      <c r="B13" s="12"/>
      <c r="C13" s="20"/>
      <c r="D13" s="20"/>
      <c r="E13" s="20"/>
      <c r="F13" s="20"/>
      <c r="G13" s="20"/>
      <c r="H13" s="21"/>
      <c r="I13" s="20"/>
      <c r="J13" s="18"/>
      <c r="K13" s="18"/>
      <c r="L13" s="18"/>
      <c r="M13" s="18"/>
      <c r="N13" s="19"/>
    </row>
    <row r="14" spans="1:14" ht="15.75" customHeight="1" x14ac:dyDescent="0.25">
      <c r="A14" s="11"/>
      <c r="B14" s="339" t="s">
        <v>312</v>
      </c>
      <c r="C14" s="338"/>
      <c r="D14" s="338"/>
      <c r="E14" s="338"/>
      <c r="F14" s="338"/>
      <c r="G14" s="20"/>
      <c r="H14" s="22">
        <v>18.399999999999999</v>
      </c>
      <c r="I14" s="20"/>
      <c r="J14" s="474" t="s">
        <v>37</v>
      </c>
      <c r="K14" s="475"/>
      <c r="L14" s="475"/>
      <c r="M14" s="476"/>
      <c r="N14" s="19"/>
    </row>
    <row r="15" spans="1:14" ht="15.75" x14ac:dyDescent="0.25">
      <c r="A15" s="11"/>
      <c r="B15" s="483" t="s">
        <v>38</v>
      </c>
      <c r="C15" s="483"/>
      <c r="D15" s="483"/>
      <c r="E15" s="483"/>
      <c r="F15" s="483"/>
      <c r="G15" s="20"/>
      <c r="H15" s="22">
        <v>13</v>
      </c>
      <c r="I15" s="20" t="s">
        <v>36</v>
      </c>
      <c r="J15" s="477"/>
      <c r="K15" s="478"/>
      <c r="L15" s="478"/>
      <c r="M15" s="479"/>
      <c r="N15" s="19"/>
    </row>
    <row r="16" spans="1:14" ht="15.75" x14ac:dyDescent="0.25">
      <c r="A16" s="11"/>
      <c r="B16" s="483" t="s">
        <v>39</v>
      </c>
      <c r="C16" s="483"/>
      <c r="D16" s="483"/>
      <c r="E16" s="483"/>
      <c r="F16" s="483"/>
      <c r="G16" s="20"/>
      <c r="H16" s="22">
        <v>10.8</v>
      </c>
      <c r="I16" s="20" t="s">
        <v>36</v>
      </c>
      <c r="J16" s="477"/>
      <c r="K16" s="478"/>
      <c r="L16" s="478"/>
      <c r="M16" s="479"/>
      <c r="N16" s="19"/>
    </row>
    <row r="17" spans="1:19" ht="12.75" customHeight="1" x14ac:dyDescent="0.2">
      <c r="A17" s="23"/>
      <c r="B17" s="483" t="s">
        <v>40</v>
      </c>
      <c r="C17" s="483"/>
      <c r="D17" s="483"/>
      <c r="E17" s="483"/>
      <c r="F17" s="483"/>
      <c r="G17" s="20"/>
      <c r="H17" s="22">
        <v>13</v>
      </c>
      <c r="I17" s="20" t="s">
        <v>36</v>
      </c>
      <c r="J17" s="477"/>
      <c r="K17" s="478"/>
      <c r="L17" s="478"/>
      <c r="M17" s="479"/>
      <c r="N17" s="19"/>
    </row>
    <row r="18" spans="1:19" ht="12.75" customHeight="1" x14ac:dyDescent="0.2">
      <c r="A18" s="23"/>
      <c r="B18" s="483" t="s">
        <v>41</v>
      </c>
      <c r="C18" s="483"/>
      <c r="D18" s="483"/>
      <c r="E18" s="483"/>
      <c r="F18" s="483"/>
      <c r="G18" s="20"/>
      <c r="H18" s="22">
        <v>16.600000000000001</v>
      </c>
      <c r="I18" s="20" t="s">
        <v>36</v>
      </c>
      <c r="J18" s="477"/>
      <c r="K18" s="478"/>
      <c r="L18" s="478"/>
      <c r="M18" s="479"/>
      <c r="N18" s="19"/>
    </row>
    <row r="19" spans="1:19" ht="12.75" customHeight="1" x14ac:dyDescent="0.2">
      <c r="A19" s="23"/>
      <c r="B19" s="483" t="s">
        <v>42</v>
      </c>
      <c r="C19" s="483"/>
      <c r="D19" s="483"/>
      <c r="E19" s="483"/>
      <c r="F19" s="483"/>
      <c r="G19" s="20"/>
      <c r="H19" s="22">
        <v>24</v>
      </c>
      <c r="I19" s="20" t="s">
        <v>36</v>
      </c>
      <c r="J19" s="477"/>
      <c r="K19" s="478"/>
      <c r="L19" s="478"/>
      <c r="M19" s="479"/>
      <c r="N19" s="19"/>
    </row>
    <row r="20" spans="1:19" ht="12.75" customHeight="1" x14ac:dyDescent="0.2">
      <c r="A20" s="23"/>
      <c r="B20" s="483" t="s">
        <v>43</v>
      </c>
      <c r="C20" s="483"/>
      <c r="D20" s="483"/>
      <c r="E20" s="483"/>
      <c r="F20" s="483"/>
      <c r="G20" s="20"/>
      <c r="H20" s="22">
        <v>5.8</v>
      </c>
      <c r="I20" s="20" t="s">
        <v>36</v>
      </c>
      <c r="J20" s="480"/>
      <c r="K20" s="481"/>
      <c r="L20" s="481"/>
      <c r="M20" s="482"/>
      <c r="N20" s="19"/>
    </row>
    <row r="21" spans="1:19" ht="26.25" customHeight="1" x14ac:dyDescent="0.2">
      <c r="A21" s="23"/>
      <c r="B21" s="500" t="s">
        <v>567</v>
      </c>
      <c r="C21" s="500"/>
      <c r="D21" s="500"/>
      <c r="E21" s="500"/>
      <c r="F21" s="500"/>
      <c r="G21" s="100"/>
      <c r="H21" s="101">
        <f>2*3</f>
        <v>6</v>
      </c>
      <c r="I21" s="100" t="s">
        <v>36</v>
      </c>
      <c r="J21" s="506" t="s">
        <v>44</v>
      </c>
      <c r="K21" s="506"/>
      <c r="L21" s="506"/>
      <c r="M21" s="506"/>
      <c r="N21" s="19"/>
    </row>
    <row r="22" spans="1:19" ht="12.75" customHeight="1" x14ac:dyDescent="0.2">
      <c r="A22" s="23"/>
      <c r="B22" s="18"/>
      <c r="C22" s="18"/>
      <c r="D22" s="18"/>
      <c r="J22" s="18"/>
      <c r="K22" s="18"/>
      <c r="L22" s="18"/>
      <c r="M22" s="24"/>
      <c r="N22" s="19"/>
    </row>
    <row r="23" spans="1:19" ht="12.75" customHeight="1" x14ac:dyDescent="0.2">
      <c r="A23" s="25"/>
      <c r="B23" s="26"/>
      <c r="C23" s="26"/>
      <c r="D23" s="26"/>
      <c r="E23" s="27" t="s">
        <v>45</v>
      </c>
      <c r="F23" s="20"/>
      <c r="G23" s="20"/>
      <c r="H23" s="86">
        <f>ROUND(SUM(H14:H21),2)</f>
        <v>107.6</v>
      </c>
      <c r="I23" s="20" t="s">
        <v>36</v>
      </c>
      <c r="J23" s="26"/>
      <c r="K23" s="26"/>
      <c r="L23" s="26"/>
      <c r="M23" s="26"/>
      <c r="N23" s="28"/>
    </row>
    <row r="24" spans="1:19" ht="15.75" x14ac:dyDescent="0.25">
      <c r="A24" s="484" t="s">
        <v>46</v>
      </c>
      <c r="B24" s="485" t="s">
        <v>47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1:19" x14ac:dyDescent="0.2">
      <c r="A25" s="501" t="s">
        <v>609</v>
      </c>
      <c r="B25" s="502"/>
      <c r="C25" s="502"/>
      <c r="D25" s="502"/>
      <c r="E25" s="29">
        <f>H23</f>
        <v>107.6</v>
      </c>
      <c r="F25" s="30" t="s">
        <v>48</v>
      </c>
      <c r="G25" s="31"/>
      <c r="H25" s="31"/>
      <c r="I25" s="31"/>
      <c r="J25" s="32"/>
      <c r="K25" s="31"/>
      <c r="L25" s="31"/>
      <c r="M25" s="31"/>
      <c r="N25" s="33"/>
    </row>
    <row r="26" spans="1:19" x14ac:dyDescent="0.2">
      <c r="A26" s="501"/>
      <c r="B26" s="502"/>
      <c r="C26" s="502"/>
      <c r="D26" s="502"/>
      <c r="E26" s="29"/>
      <c r="F26" s="30"/>
      <c r="G26" s="31"/>
      <c r="H26" s="31"/>
      <c r="I26" s="31"/>
      <c r="J26" s="31"/>
      <c r="K26" s="31"/>
      <c r="L26" s="31"/>
      <c r="M26" s="31"/>
      <c r="N26" s="33"/>
    </row>
    <row r="27" spans="1:19" x14ac:dyDescent="0.2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</row>
    <row r="30" spans="1:19" ht="14.25" x14ac:dyDescent="0.2">
      <c r="A30" s="37"/>
      <c r="B30" s="499"/>
      <c r="C30" s="499"/>
      <c r="D30" s="499"/>
      <c r="E30" s="499"/>
      <c r="F30" s="499"/>
      <c r="G30" s="499"/>
      <c r="H30" s="499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19" ht="14.25" x14ac:dyDescent="0.2">
      <c r="A31" s="37"/>
      <c r="B31" s="343"/>
      <c r="C31" s="343"/>
      <c r="D31" s="343"/>
      <c r="E31" s="343"/>
      <c r="F31" s="343"/>
      <c r="G31" s="343"/>
      <c r="H31" s="344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19" ht="14.25" x14ac:dyDescent="0.2">
      <c r="A32" s="39"/>
      <c r="B32" s="345"/>
      <c r="C32" s="345"/>
      <c r="D32" s="345"/>
      <c r="E32" s="345"/>
      <c r="F32" s="345"/>
      <c r="G32" s="345"/>
      <c r="H32" s="345"/>
      <c r="I32" s="38"/>
      <c r="J32" s="99"/>
      <c r="K32" s="38"/>
      <c r="L32" s="38"/>
      <c r="M32" s="38"/>
      <c r="N32" s="38"/>
      <c r="O32" s="38"/>
      <c r="P32" s="38"/>
      <c r="Q32" s="38"/>
      <c r="R32" s="38"/>
      <c r="S32" s="38"/>
    </row>
    <row r="33" spans="1:19" ht="14.25" x14ac:dyDescent="0.2">
      <c r="A33" s="37"/>
      <c r="B33" s="499"/>
      <c r="C33" s="499"/>
      <c r="D33" s="499"/>
      <c r="E33" s="499"/>
      <c r="F33" s="499"/>
      <c r="G33" s="499"/>
      <c r="H33" s="499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1:19" ht="14.25" x14ac:dyDescent="0.2">
      <c r="A34" s="39"/>
      <c r="B34" s="503"/>
      <c r="C34" s="503"/>
      <c r="D34" s="503"/>
      <c r="E34" s="503"/>
      <c r="F34" s="503"/>
      <c r="G34" s="503"/>
      <c r="H34" s="503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1:19" ht="14.25" x14ac:dyDescent="0.2">
      <c r="A35" s="37"/>
      <c r="B35" s="499"/>
      <c r="C35" s="499"/>
      <c r="D35" s="499"/>
      <c r="E35" s="499"/>
      <c r="F35" s="499"/>
      <c r="G35" s="499"/>
      <c r="H35" s="499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1:19" ht="14.25" x14ac:dyDescent="0.2">
      <c r="A36" s="39"/>
      <c r="B36" s="507"/>
      <c r="C36" s="507"/>
      <c r="D36" s="507"/>
      <c r="E36" s="507"/>
      <c r="F36" s="507"/>
      <c r="G36" s="507"/>
      <c r="H36" s="507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1:19" ht="14.25" x14ac:dyDescent="0.2">
      <c r="A37" s="39"/>
      <c r="B37" s="503"/>
      <c r="C37" s="503"/>
      <c r="D37" s="503"/>
      <c r="E37" s="503"/>
      <c r="F37" s="503"/>
      <c r="G37" s="503"/>
      <c r="H37" s="503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1:19" ht="14.25" x14ac:dyDescent="0.2">
      <c r="A38" s="39"/>
      <c r="B38" s="503"/>
      <c r="C38" s="503"/>
      <c r="D38" s="503"/>
      <c r="E38" s="503"/>
      <c r="F38" s="503"/>
      <c r="G38" s="503"/>
      <c r="H38" s="503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1:19" ht="14.25" x14ac:dyDescent="0.2">
      <c r="A39" s="39"/>
      <c r="B39" s="503"/>
      <c r="C39" s="503"/>
      <c r="D39" s="503"/>
      <c r="E39" s="503"/>
      <c r="F39" s="503"/>
      <c r="G39" s="503"/>
      <c r="H39" s="503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1:19" ht="14.25" x14ac:dyDescent="0.2">
      <c r="A40" s="39"/>
      <c r="B40" s="503"/>
      <c r="C40" s="503"/>
      <c r="D40" s="503"/>
      <c r="E40" s="503"/>
      <c r="F40" s="503"/>
      <c r="G40" s="503"/>
      <c r="H40" s="503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1:19" ht="14.25" x14ac:dyDescent="0.2">
      <c r="A41" s="39"/>
      <c r="B41" s="503"/>
      <c r="C41" s="503"/>
      <c r="D41" s="503"/>
      <c r="E41" s="503"/>
      <c r="F41" s="503"/>
      <c r="G41" s="503"/>
      <c r="H41" s="503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1:19" ht="14.25" x14ac:dyDescent="0.2">
      <c r="A42" s="39"/>
      <c r="B42" s="40"/>
      <c r="C42" s="40"/>
      <c r="D42" s="40"/>
      <c r="E42" s="40"/>
      <c r="F42" s="40"/>
      <c r="G42" s="40"/>
      <c r="H42" s="40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1:19" ht="14.25" x14ac:dyDescent="0.2">
      <c r="A43" s="39"/>
      <c r="B43" s="40"/>
      <c r="C43" s="40"/>
      <c r="D43" s="40"/>
      <c r="E43" s="40"/>
      <c r="F43" s="40"/>
      <c r="G43" s="40"/>
      <c r="H43" s="40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1:19" ht="14.25" x14ac:dyDescent="0.2">
      <c r="A44" s="37"/>
      <c r="B44" s="499"/>
      <c r="C44" s="499"/>
      <c r="D44" s="499"/>
      <c r="E44" s="499"/>
      <c r="F44" s="499"/>
      <c r="G44" s="499"/>
      <c r="H44" s="499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19" ht="14.25" x14ac:dyDescent="0.2">
      <c r="A45" s="39"/>
      <c r="B45" s="503"/>
      <c r="C45" s="503"/>
      <c r="D45" s="503"/>
      <c r="E45" s="503"/>
      <c r="F45" s="503"/>
      <c r="G45" s="503"/>
      <c r="H45" s="503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 ht="14.25" x14ac:dyDescent="0.2">
      <c r="A46" s="37"/>
      <c r="B46" s="499"/>
      <c r="C46" s="499"/>
      <c r="D46" s="499"/>
      <c r="E46" s="499"/>
      <c r="F46" s="499"/>
      <c r="G46" s="499"/>
      <c r="H46" s="499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1:19" ht="14.25" x14ac:dyDescent="0.2">
      <c r="A47" s="39"/>
      <c r="B47" s="503"/>
      <c r="C47" s="503"/>
      <c r="D47" s="503"/>
      <c r="E47" s="503"/>
      <c r="F47" s="503"/>
      <c r="G47" s="503"/>
      <c r="H47" s="503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1:19" ht="14.25" x14ac:dyDescent="0.2">
      <c r="A48" s="39"/>
      <c r="B48" s="503"/>
      <c r="C48" s="503"/>
      <c r="D48" s="503"/>
      <c r="E48" s="503"/>
      <c r="F48" s="503"/>
      <c r="G48" s="503"/>
      <c r="H48" s="503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61" ht="14.25" x14ac:dyDescent="0.2">
      <c r="A49" s="39"/>
      <c r="B49" s="503"/>
      <c r="C49" s="503"/>
      <c r="D49" s="503"/>
      <c r="E49" s="503"/>
      <c r="F49" s="503"/>
      <c r="G49" s="503"/>
      <c r="H49" s="503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1:61" ht="14.25" x14ac:dyDescent="0.2">
      <c r="A50" s="39"/>
      <c r="B50" s="503"/>
      <c r="C50" s="503"/>
      <c r="D50" s="503"/>
      <c r="E50" s="503"/>
      <c r="F50" s="503"/>
      <c r="G50" s="503"/>
      <c r="H50" s="503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1:61" ht="14.25" x14ac:dyDescent="0.2">
      <c r="A51" s="39"/>
      <c r="B51" s="503"/>
      <c r="C51" s="503"/>
      <c r="D51" s="503"/>
      <c r="E51" s="503"/>
      <c r="F51" s="503"/>
      <c r="G51" s="503"/>
      <c r="H51" s="503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1:61" ht="14.25" x14ac:dyDescent="0.2">
      <c r="A52" s="39"/>
      <c r="B52" s="40"/>
      <c r="C52" s="40"/>
      <c r="D52" s="40"/>
      <c r="E52" s="40"/>
      <c r="F52" s="40"/>
      <c r="G52" s="40"/>
      <c r="H52" s="40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1:61" ht="14.25" x14ac:dyDescent="0.2">
      <c r="A53" s="41"/>
      <c r="B53" s="504"/>
      <c r="C53" s="504"/>
      <c r="D53" s="504"/>
      <c r="E53" s="504"/>
      <c r="F53" s="504"/>
      <c r="G53" s="504"/>
      <c r="H53" s="504"/>
      <c r="I53" s="42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1:61" ht="14.25" x14ac:dyDescent="0.2">
      <c r="A54" s="41"/>
      <c r="B54" s="505"/>
      <c r="C54" s="505"/>
      <c r="D54" s="505"/>
      <c r="E54" s="505"/>
      <c r="F54" s="505"/>
      <c r="G54" s="505"/>
      <c r="H54" s="505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</row>
    <row r="55" spans="1:61" ht="14.25" x14ac:dyDescent="0.2">
      <c r="A55" s="41"/>
      <c r="B55" s="504"/>
      <c r="C55" s="504"/>
      <c r="D55" s="504"/>
      <c r="E55" s="504"/>
      <c r="F55" s="504"/>
      <c r="G55" s="504"/>
      <c r="H55" s="504"/>
      <c r="I55" s="42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1:61" ht="15" x14ac:dyDescent="0.25">
      <c r="A56" s="41"/>
      <c r="B56" s="505"/>
      <c r="C56" s="505"/>
      <c r="D56" s="505"/>
      <c r="E56" s="505"/>
      <c r="F56" s="505"/>
      <c r="G56" s="505"/>
      <c r="H56" s="505"/>
      <c r="I56" s="42"/>
      <c r="J56" s="38"/>
      <c r="K56" s="38"/>
      <c r="L56" s="38"/>
      <c r="M56" s="38"/>
      <c r="N56" s="38"/>
      <c r="O56" s="38"/>
      <c r="P56" s="38"/>
      <c r="Q56" s="38"/>
      <c r="R56" s="38"/>
      <c r="S56" s="38"/>
      <c r="BI56" s="43"/>
    </row>
    <row r="57" spans="1:61" ht="14.25" x14ac:dyDescent="0.2">
      <c r="A57" s="41"/>
      <c r="B57" s="504"/>
      <c r="C57" s="504"/>
      <c r="D57" s="504"/>
      <c r="E57" s="504"/>
      <c r="F57" s="504"/>
      <c r="G57" s="504"/>
      <c r="H57" s="504"/>
      <c r="I57" s="42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1:61" ht="14.25" x14ac:dyDescent="0.2">
      <c r="A58" s="41"/>
      <c r="B58" s="504"/>
      <c r="C58" s="504"/>
      <c r="D58" s="504"/>
      <c r="E58" s="504"/>
      <c r="F58" s="504"/>
      <c r="G58" s="504"/>
      <c r="H58" s="504"/>
      <c r="I58" s="42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1:61" ht="14.25" x14ac:dyDescent="0.2">
      <c r="A59" s="41"/>
      <c r="B59" s="505"/>
      <c r="C59" s="505"/>
      <c r="D59" s="505"/>
      <c r="E59" s="505"/>
      <c r="F59" s="505"/>
      <c r="G59" s="505"/>
      <c r="H59" s="505"/>
      <c r="I59" s="42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1:61" ht="14.25" x14ac:dyDescent="0.2">
      <c r="A60" s="41"/>
      <c r="B60" s="504"/>
      <c r="C60" s="504"/>
      <c r="D60" s="504"/>
      <c r="E60" s="504"/>
      <c r="F60" s="504"/>
      <c r="G60" s="504"/>
      <c r="H60" s="504"/>
      <c r="I60" s="42"/>
      <c r="J60" s="38"/>
      <c r="K60" s="38"/>
      <c r="L60" s="38"/>
      <c r="M60" s="38"/>
      <c r="N60" s="38"/>
      <c r="O60" s="38"/>
      <c r="P60" s="38"/>
      <c r="Q60" s="38"/>
      <c r="R60" s="38"/>
      <c r="S60" s="38"/>
    </row>
  </sheetData>
  <mergeCells count="46">
    <mergeCell ref="J21:M21"/>
    <mergeCell ref="B57:H57"/>
    <mergeCell ref="B58:H58"/>
    <mergeCell ref="B59:H59"/>
    <mergeCell ref="B49:H49"/>
    <mergeCell ref="B36:H36"/>
    <mergeCell ref="B37:H37"/>
    <mergeCell ref="B38:H38"/>
    <mergeCell ref="B39:H39"/>
    <mergeCell ref="B40:H40"/>
    <mergeCell ref="B41:H41"/>
    <mergeCell ref="B44:H44"/>
    <mergeCell ref="B45:H45"/>
    <mergeCell ref="B46:H46"/>
    <mergeCell ref="B47:H47"/>
    <mergeCell ref="B48:H48"/>
    <mergeCell ref="B60:H60"/>
    <mergeCell ref="B50:H50"/>
    <mergeCell ref="B51:H51"/>
    <mergeCell ref="B53:H53"/>
    <mergeCell ref="B54:H54"/>
    <mergeCell ref="B55:H55"/>
    <mergeCell ref="B56:H56"/>
    <mergeCell ref="B35:H35"/>
    <mergeCell ref="B21:F21"/>
    <mergeCell ref="A24:B24"/>
    <mergeCell ref="A25:D25"/>
    <mergeCell ref="A26:D26"/>
    <mergeCell ref="B30:H30"/>
    <mergeCell ref="B33:H33"/>
    <mergeCell ref="B34:H34"/>
    <mergeCell ref="J14:M20"/>
    <mergeCell ref="B19:F19"/>
    <mergeCell ref="B20:F20"/>
    <mergeCell ref="A12:B12"/>
    <mergeCell ref="A2:N2"/>
    <mergeCell ref="A3:N3"/>
    <mergeCell ref="A4:N4"/>
    <mergeCell ref="A5:N5"/>
    <mergeCell ref="A7:N8"/>
    <mergeCell ref="A10:B10"/>
    <mergeCell ref="A11:N11"/>
    <mergeCell ref="B15:F15"/>
    <mergeCell ref="B16:F16"/>
    <mergeCell ref="B17:F17"/>
    <mergeCell ref="B18:F18"/>
  </mergeCells>
  <pageMargins left="0.51181102362204722" right="0.51181102362204722" top="0.78740157480314965" bottom="0.78740157480314965" header="0.31496062992125984" footer="0.31496062992125984"/>
  <pageSetup paperSize="9" scale="83" fitToHeight="0" orientation="landscape" r:id="rId1"/>
  <colBreaks count="1" manualBreakCount="1">
    <brk id="1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12A8B-ED4C-4249-AFCB-191A3EA46049}">
  <dimension ref="A1:IV43"/>
  <sheetViews>
    <sheetView view="pageBreakPreview" zoomScaleNormal="100" zoomScaleSheetLayoutView="100" workbookViewId="0">
      <selection activeCell="B21" sqref="B21"/>
    </sheetView>
  </sheetViews>
  <sheetFormatPr defaultColWidth="14.375" defaultRowHeight="12.75" x14ac:dyDescent="0.2"/>
  <cols>
    <col min="1" max="1" width="14.375" style="45"/>
    <col min="2" max="2" width="14.375" style="51"/>
    <col min="3" max="16384" width="14.375" style="45"/>
  </cols>
  <sheetData>
    <row r="1" spans="1:256" x14ac:dyDescent="0.2">
      <c r="A1" s="53"/>
      <c r="B1" s="54"/>
      <c r="C1" s="55"/>
      <c r="D1" s="55"/>
      <c r="E1" s="55"/>
      <c r="F1" s="55"/>
      <c r="G1" s="56"/>
    </row>
    <row r="2" spans="1:256" x14ac:dyDescent="0.2">
      <c r="A2" s="57"/>
      <c r="G2" s="58"/>
    </row>
    <row r="3" spans="1:256" x14ac:dyDescent="0.2">
      <c r="A3" s="57"/>
      <c r="G3" s="58"/>
    </row>
    <row r="4" spans="1:256" ht="15" customHeight="1" x14ac:dyDescent="0.25">
      <c r="A4" s="509" t="s">
        <v>49</v>
      </c>
      <c r="B4" s="510"/>
      <c r="C4" s="510"/>
      <c r="D4" s="510"/>
      <c r="E4" s="510"/>
      <c r="F4" s="510"/>
      <c r="G4" s="511"/>
      <c r="H4" s="44"/>
    </row>
    <row r="5" spans="1:256" ht="32.25" customHeight="1" x14ac:dyDescent="0.25">
      <c r="A5" s="512" t="str">
        <f>'Mob. e Desmob.'!A5:N5</f>
        <v>EXECUÇÃO DE SERVIÇOS DE PAVIMENTAÇÃO COM TRATAMENTO SUPERFICIAL DUPLO EM VIAS DOS MUNICÍPIOS DIVERSOS INSERIDOS NA ÁREA DE ATUAÇÃO DA 6ª SUPERINTENDÊNCIA DA CODEVASF EM JUAZEIRO/BA - LOTE 01</v>
      </c>
      <c r="B5" s="513"/>
      <c r="C5" s="513"/>
      <c r="D5" s="513"/>
      <c r="E5" s="513"/>
      <c r="F5" s="513"/>
      <c r="G5" s="514"/>
      <c r="H5" s="46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  <c r="HZ5" s="47"/>
      <c r="IA5" s="47"/>
      <c r="IB5" s="47"/>
      <c r="IC5" s="47"/>
      <c r="ID5" s="47"/>
      <c r="IE5" s="47"/>
      <c r="IF5" s="47"/>
      <c r="IG5" s="47"/>
      <c r="IH5" s="47"/>
      <c r="II5" s="47"/>
      <c r="IJ5" s="47"/>
      <c r="IK5" s="47"/>
      <c r="IL5" s="47"/>
      <c r="IM5" s="47"/>
      <c r="IN5" s="47"/>
      <c r="IO5" s="47"/>
      <c r="IP5" s="47"/>
      <c r="IQ5" s="47"/>
      <c r="IR5" s="47"/>
      <c r="IS5" s="47"/>
      <c r="IT5" s="47"/>
      <c r="IU5" s="47"/>
      <c r="IV5" s="47"/>
    </row>
    <row r="6" spans="1:256" ht="15" customHeight="1" x14ac:dyDescent="0.25">
      <c r="A6" s="515" t="s">
        <v>600</v>
      </c>
      <c r="B6" s="516"/>
      <c r="C6" s="516"/>
      <c r="D6" s="516"/>
      <c r="E6" s="516"/>
      <c r="F6" s="516"/>
      <c r="G6" s="517"/>
      <c r="H6" s="48"/>
      <c r="I6" s="49"/>
      <c r="J6" s="49"/>
      <c r="K6" s="49"/>
      <c r="L6" s="49"/>
      <c r="M6" s="49"/>
      <c r="N6" s="49"/>
      <c r="O6" s="49"/>
      <c r="P6" s="49"/>
      <c r="Q6" s="508"/>
      <c r="R6" s="508"/>
      <c r="S6" s="508"/>
      <c r="T6" s="508"/>
      <c r="U6" s="508"/>
      <c r="V6" s="508"/>
      <c r="W6" s="508"/>
      <c r="X6" s="508"/>
      <c r="Y6" s="508"/>
      <c r="Z6" s="508"/>
      <c r="AA6" s="508"/>
      <c r="AB6" s="508"/>
      <c r="AC6" s="508"/>
      <c r="AD6" s="508"/>
      <c r="AE6" s="508"/>
      <c r="AF6" s="508"/>
      <c r="AG6" s="508"/>
      <c r="AH6" s="508"/>
      <c r="AI6" s="508"/>
      <c r="AJ6" s="508"/>
      <c r="AK6" s="508"/>
      <c r="AL6" s="508"/>
      <c r="AM6" s="508"/>
      <c r="AN6" s="508"/>
      <c r="AO6" s="508"/>
      <c r="AP6" s="508"/>
      <c r="AQ6" s="508"/>
      <c r="AR6" s="508"/>
      <c r="AS6" s="508"/>
      <c r="AT6" s="508"/>
      <c r="AU6" s="508"/>
      <c r="AV6" s="508"/>
      <c r="AW6" s="508"/>
      <c r="AX6" s="508"/>
      <c r="AY6" s="508"/>
      <c r="AZ6" s="508"/>
      <c r="BA6" s="508"/>
      <c r="BB6" s="508"/>
      <c r="BC6" s="508"/>
      <c r="BD6" s="508"/>
      <c r="BE6" s="508"/>
      <c r="BF6" s="508"/>
      <c r="BG6" s="508"/>
      <c r="BH6" s="508"/>
      <c r="BI6" s="508"/>
      <c r="BJ6" s="508"/>
      <c r="BK6" s="508"/>
      <c r="BL6" s="508"/>
      <c r="BM6" s="508"/>
      <c r="BN6" s="508"/>
      <c r="BO6" s="508"/>
      <c r="BP6" s="508"/>
      <c r="BQ6" s="508"/>
      <c r="BR6" s="508"/>
      <c r="BS6" s="508"/>
      <c r="BT6" s="508"/>
      <c r="BU6" s="508"/>
      <c r="BV6" s="508"/>
      <c r="BW6" s="508"/>
      <c r="BX6" s="508"/>
      <c r="BY6" s="508"/>
      <c r="BZ6" s="508"/>
      <c r="CA6" s="508"/>
      <c r="CB6" s="508"/>
      <c r="CC6" s="508"/>
      <c r="CD6" s="508"/>
      <c r="CE6" s="508"/>
      <c r="CF6" s="508"/>
      <c r="CG6" s="508"/>
      <c r="CH6" s="508"/>
      <c r="CI6" s="508"/>
      <c r="CJ6" s="508"/>
      <c r="CK6" s="508"/>
      <c r="CL6" s="508"/>
      <c r="CM6" s="508"/>
      <c r="CN6" s="508"/>
      <c r="CO6" s="508"/>
      <c r="CP6" s="508"/>
      <c r="CQ6" s="508"/>
      <c r="CR6" s="508"/>
      <c r="CS6" s="508"/>
      <c r="CT6" s="508"/>
      <c r="CU6" s="508"/>
      <c r="CV6" s="508"/>
      <c r="CW6" s="508"/>
      <c r="CX6" s="508"/>
      <c r="CY6" s="508"/>
      <c r="CZ6" s="508"/>
      <c r="DA6" s="508"/>
      <c r="DB6" s="508"/>
      <c r="DC6" s="508"/>
      <c r="DD6" s="508"/>
      <c r="DE6" s="508"/>
      <c r="DF6" s="508"/>
      <c r="DG6" s="508"/>
      <c r="DH6" s="508"/>
      <c r="DI6" s="508"/>
      <c r="DJ6" s="508"/>
      <c r="DK6" s="508"/>
      <c r="DL6" s="508"/>
      <c r="DM6" s="508"/>
      <c r="DN6" s="508"/>
      <c r="DO6" s="508"/>
      <c r="DP6" s="508"/>
      <c r="DQ6" s="508"/>
      <c r="DR6" s="508"/>
      <c r="DS6" s="508"/>
      <c r="DT6" s="508"/>
      <c r="DU6" s="508"/>
      <c r="DV6" s="508"/>
      <c r="DW6" s="508"/>
      <c r="DX6" s="508"/>
      <c r="DY6" s="508"/>
      <c r="DZ6" s="508"/>
      <c r="EA6" s="508"/>
      <c r="EB6" s="508"/>
      <c r="EC6" s="508"/>
      <c r="ED6" s="508"/>
      <c r="EE6" s="508"/>
      <c r="EF6" s="508"/>
      <c r="EG6" s="508"/>
      <c r="EH6" s="508"/>
      <c r="EI6" s="508"/>
      <c r="EJ6" s="508"/>
      <c r="EK6" s="508"/>
      <c r="EL6" s="508"/>
      <c r="EM6" s="508"/>
      <c r="EN6" s="508"/>
      <c r="EO6" s="508"/>
      <c r="EP6" s="508"/>
      <c r="EQ6" s="508"/>
      <c r="ER6" s="508"/>
      <c r="ES6" s="508"/>
      <c r="ET6" s="508"/>
      <c r="EU6" s="508"/>
      <c r="EV6" s="508"/>
      <c r="EW6" s="508"/>
      <c r="EX6" s="508"/>
      <c r="EY6" s="508"/>
      <c r="EZ6" s="508"/>
      <c r="FA6" s="508"/>
      <c r="FB6" s="508"/>
      <c r="FC6" s="508"/>
      <c r="FD6" s="508"/>
      <c r="FE6" s="508"/>
      <c r="FF6" s="508"/>
      <c r="FG6" s="508"/>
      <c r="FH6" s="508"/>
      <c r="FI6" s="508"/>
      <c r="FJ6" s="508"/>
      <c r="FK6" s="508"/>
      <c r="FL6" s="508"/>
      <c r="FM6" s="508"/>
      <c r="FN6" s="508"/>
      <c r="FO6" s="508"/>
      <c r="FP6" s="508"/>
      <c r="FQ6" s="508"/>
      <c r="FR6" s="508"/>
      <c r="FS6" s="508"/>
      <c r="FT6" s="508"/>
      <c r="FU6" s="508"/>
      <c r="FV6" s="508"/>
      <c r="FW6" s="508"/>
      <c r="FX6" s="508"/>
      <c r="FY6" s="508"/>
      <c r="FZ6" s="508"/>
      <c r="GA6" s="508"/>
      <c r="GB6" s="508"/>
      <c r="GC6" s="508"/>
      <c r="GD6" s="508"/>
      <c r="GE6" s="508"/>
      <c r="GF6" s="508"/>
      <c r="GG6" s="508"/>
      <c r="GH6" s="508"/>
      <c r="GI6" s="508"/>
      <c r="GJ6" s="508"/>
      <c r="GK6" s="508"/>
      <c r="GL6" s="508"/>
      <c r="GM6" s="508"/>
      <c r="GN6" s="508"/>
      <c r="GO6" s="508"/>
      <c r="GP6" s="508"/>
      <c r="GQ6" s="508"/>
      <c r="GR6" s="508"/>
      <c r="GS6" s="508"/>
      <c r="GT6" s="508"/>
      <c r="GU6" s="508"/>
      <c r="GV6" s="508"/>
      <c r="GW6" s="508"/>
      <c r="GX6" s="508"/>
      <c r="GY6" s="508"/>
      <c r="GZ6" s="508"/>
      <c r="HA6" s="508"/>
      <c r="HB6" s="508"/>
      <c r="HC6" s="508"/>
      <c r="HD6" s="508"/>
      <c r="HE6" s="508"/>
      <c r="HF6" s="508"/>
      <c r="HG6" s="508"/>
      <c r="HH6" s="508"/>
      <c r="HI6" s="508"/>
      <c r="HJ6" s="508"/>
      <c r="HK6" s="508"/>
      <c r="HL6" s="508"/>
      <c r="HM6" s="508"/>
      <c r="HN6" s="508"/>
      <c r="HO6" s="508"/>
      <c r="HP6" s="508"/>
      <c r="HQ6" s="508"/>
      <c r="HR6" s="508"/>
      <c r="HS6" s="508"/>
      <c r="HT6" s="508"/>
      <c r="HU6" s="508"/>
      <c r="HV6" s="508"/>
      <c r="HW6" s="508"/>
      <c r="HX6" s="508"/>
      <c r="HY6" s="508"/>
      <c r="HZ6" s="508"/>
      <c r="IA6" s="508"/>
      <c r="IB6" s="508"/>
      <c r="IC6" s="508"/>
      <c r="ID6" s="508"/>
      <c r="IE6" s="508"/>
      <c r="IF6" s="508"/>
      <c r="IG6" s="508"/>
      <c r="IH6" s="508"/>
      <c r="II6" s="508"/>
      <c r="IJ6" s="508"/>
      <c r="IK6" s="508"/>
      <c r="IL6" s="508"/>
      <c r="IM6" s="508"/>
      <c r="IN6" s="508"/>
      <c r="IO6" s="508"/>
      <c r="IP6" s="508"/>
      <c r="IQ6" s="508"/>
      <c r="IR6" s="508"/>
      <c r="IS6" s="508"/>
      <c r="IT6" s="508"/>
      <c r="IU6" s="508"/>
      <c r="IV6" s="508"/>
    </row>
    <row r="7" spans="1:256" x14ac:dyDescent="0.2">
      <c r="A7" s="57"/>
      <c r="B7" s="59"/>
      <c r="G7" s="58"/>
    </row>
    <row r="8" spans="1:256" ht="15.75" x14ac:dyDescent="0.25">
      <c r="A8" s="522" t="s">
        <v>50</v>
      </c>
      <c r="B8" s="523"/>
      <c r="C8" s="523"/>
      <c r="D8" s="523"/>
      <c r="E8" s="523"/>
      <c r="F8" s="523"/>
      <c r="G8" s="524"/>
      <c r="H8" s="50"/>
    </row>
    <row r="9" spans="1:256" x14ac:dyDescent="0.2">
      <c r="A9" s="57"/>
      <c r="C9" s="60"/>
      <c r="D9" s="61"/>
      <c r="G9" s="58"/>
    </row>
    <row r="10" spans="1:256" s="44" customFormat="1" ht="15" x14ac:dyDescent="0.25">
      <c r="A10" s="62" t="s">
        <v>51</v>
      </c>
      <c r="B10" s="63"/>
      <c r="G10" s="64"/>
    </row>
    <row r="11" spans="1:256" s="44" customFormat="1" ht="15" x14ac:dyDescent="0.25">
      <c r="A11" s="62" t="s">
        <v>52</v>
      </c>
      <c r="B11" s="63"/>
      <c r="G11" s="64"/>
    </row>
    <row r="12" spans="1:256" s="44" customFormat="1" ht="15" x14ac:dyDescent="0.25">
      <c r="A12" s="62"/>
      <c r="B12" s="63"/>
      <c r="G12" s="64"/>
    </row>
    <row r="13" spans="1:256" ht="15.75" x14ac:dyDescent="0.25">
      <c r="A13" s="103" t="s">
        <v>53</v>
      </c>
      <c r="B13" s="525" t="s">
        <v>54</v>
      </c>
      <c r="C13" s="526"/>
      <c r="D13" s="104" t="s">
        <v>2</v>
      </c>
      <c r="E13" s="105" t="s">
        <v>55</v>
      </c>
      <c r="F13" s="105" t="s">
        <v>509</v>
      </c>
      <c r="G13" s="106" t="s">
        <v>56</v>
      </c>
    </row>
    <row r="14" spans="1:256" ht="15" x14ac:dyDescent="0.25">
      <c r="A14" s="107" t="s">
        <v>57</v>
      </c>
      <c r="B14" s="518" t="s">
        <v>58</v>
      </c>
      <c r="C14" s="519"/>
      <c r="D14" s="108" t="s">
        <v>59</v>
      </c>
      <c r="E14" s="109">
        <v>4.3585900000000004</v>
      </c>
      <c r="F14" s="110">
        <f>TRUNC(((E14)/(1-18/100)),2)*1000</f>
        <v>5310</v>
      </c>
      <c r="G14" s="111">
        <f>TRUNC(F14*1.15,2)</f>
        <v>6106.5</v>
      </c>
      <c r="I14" s="52"/>
    </row>
    <row r="15" spans="1:256" ht="15" x14ac:dyDescent="0.25">
      <c r="A15" s="107" t="s">
        <v>60</v>
      </c>
      <c r="B15" s="518" t="s">
        <v>61</v>
      </c>
      <c r="C15" s="519"/>
      <c r="D15" s="108" t="s">
        <v>59</v>
      </c>
      <c r="E15" s="109">
        <v>2.8096399999999999</v>
      </c>
      <c r="F15" s="110">
        <f>TRUNC(((E15)/(1-18/100)),2)*1000</f>
        <v>3420</v>
      </c>
      <c r="G15" s="111">
        <f>TRUNC(F15*1.15,2)</f>
        <v>3933</v>
      </c>
    </row>
    <row r="16" spans="1:256" x14ac:dyDescent="0.2">
      <c r="A16" s="520" t="s">
        <v>62</v>
      </c>
      <c r="B16" s="521"/>
      <c r="E16" s="65"/>
      <c r="F16" s="65"/>
      <c r="G16" s="58"/>
    </row>
    <row r="17" spans="1:7" x14ac:dyDescent="0.2">
      <c r="A17" s="57"/>
      <c r="G17" s="58"/>
    </row>
    <row r="18" spans="1:7" x14ac:dyDescent="0.2">
      <c r="A18" s="57"/>
      <c r="G18" s="58"/>
    </row>
    <row r="19" spans="1:7" x14ac:dyDescent="0.2">
      <c r="A19" s="57"/>
      <c r="G19" s="58"/>
    </row>
    <row r="20" spans="1:7" x14ac:dyDescent="0.2">
      <c r="A20" s="57"/>
      <c r="G20" s="58"/>
    </row>
    <row r="21" spans="1:7" x14ac:dyDescent="0.2">
      <c r="A21" s="57"/>
      <c r="G21" s="58"/>
    </row>
    <row r="22" spans="1:7" x14ac:dyDescent="0.2">
      <c r="A22" s="57"/>
      <c r="G22" s="58"/>
    </row>
    <row r="23" spans="1:7" x14ac:dyDescent="0.2">
      <c r="A23" s="57"/>
      <c r="G23" s="58"/>
    </row>
    <row r="24" spans="1:7" x14ac:dyDescent="0.2">
      <c r="A24" s="57"/>
      <c r="G24" s="58"/>
    </row>
    <row r="25" spans="1:7" x14ac:dyDescent="0.2">
      <c r="A25" s="57"/>
      <c r="G25" s="58"/>
    </row>
    <row r="26" spans="1:7" x14ac:dyDescent="0.2">
      <c r="A26" s="57"/>
      <c r="G26" s="58"/>
    </row>
    <row r="27" spans="1:7" x14ac:dyDescent="0.2">
      <c r="A27" s="57"/>
      <c r="G27" s="58"/>
    </row>
    <row r="28" spans="1:7" x14ac:dyDescent="0.2">
      <c r="A28" s="57"/>
      <c r="G28" s="58"/>
    </row>
    <row r="29" spans="1:7" x14ac:dyDescent="0.2">
      <c r="A29" s="57"/>
      <c r="G29" s="58"/>
    </row>
    <row r="30" spans="1:7" x14ac:dyDescent="0.2">
      <c r="A30" s="57"/>
      <c r="G30" s="58"/>
    </row>
    <row r="31" spans="1:7" x14ac:dyDescent="0.2">
      <c r="A31" s="57"/>
      <c r="G31" s="58"/>
    </row>
    <row r="32" spans="1:7" x14ac:dyDescent="0.2">
      <c r="A32" s="57"/>
      <c r="G32" s="58"/>
    </row>
    <row r="33" spans="1:7" x14ac:dyDescent="0.2">
      <c r="A33" s="57"/>
      <c r="G33" s="58"/>
    </row>
    <row r="34" spans="1:7" x14ac:dyDescent="0.2">
      <c r="A34" s="57"/>
      <c r="G34" s="58"/>
    </row>
    <row r="35" spans="1:7" x14ac:dyDescent="0.2">
      <c r="A35" s="57"/>
      <c r="G35" s="58"/>
    </row>
    <row r="36" spans="1:7" x14ac:dyDescent="0.2">
      <c r="A36" s="57"/>
      <c r="G36" s="58"/>
    </row>
    <row r="37" spans="1:7" x14ac:dyDescent="0.2">
      <c r="A37" s="57"/>
      <c r="G37" s="58"/>
    </row>
    <row r="38" spans="1:7" x14ac:dyDescent="0.2">
      <c r="A38" s="57"/>
      <c r="G38" s="58"/>
    </row>
    <row r="39" spans="1:7" x14ac:dyDescent="0.2">
      <c r="A39" s="57"/>
      <c r="G39" s="58"/>
    </row>
    <row r="40" spans="1:7" x14ac:dyDescent="0.2">
      <c r="A40" s="57"/>
      <c r="G40" s="58"/>
    </row>
    <row r="41" spans="1:7" x14ac:dyDescent="0.2">
      <c r="A41" s="57"/>
      <c r="G41" s="58"/>
    </row>
    <row r="42" spans="1:7" x14ac:dyDescent="0.2">
      <c r="A42" s="57"/>
      <c r="G42" s="58"/>
    </row>
    <row r="43" spans="1:7" ht="13.5" thickBot="1" x14ac:dyDescent="0.25">
      <c r="A43" s="66"/>
      <c r="B43" s="67"/>
      <c r="C43" s="68"/>
      <c r="D43" s="68"/>
      <c r="E43" s="68"/>
      <c r="F43" s="68"/>
      <c r="G43" s="69"/>
    </row>
  </sheetData>
  <mergeCells count="38">
    <mergeCell ref="B15:C15"/>
    <mergeCell ref="A16:B16"/>
    <mergeCell ref="HY6:IF6"/>
    <mergeCell ref="IG6:IN6"/>
    <mergeCell ref="IO6:IV6"/>
    <mergeCell ref="A8:G8"/>
    <mergeCell ref="B13:C13"/>
    <mergeCell ref="B14:C14"/>
    <mergeCell ref="GC6:GJ6"/>
    <mergeCell ref="GK6:GR6"/>
    <mergeCell ref="GS6:GZ6"/>
    <mergeCell ref="HA6:HH6"/>
    <mergeCell ref="HI6:HP6"/>
    <mergeCell ref="HQ6:HX6"/>
    <mergeCell ref="EG6:EN6"/>
    <mergeCell ref="EO6:EV6"/>
    <mergeCell ref="EW6:FD6"/>
    <mergeCell ref="FE6:FL6"/>
    <mergeCell ref="FM6:FT6"/>
    <mergeCell ref="FU6:GB6"/>
    <mergeCell ref="CK6:CR6"/>
    <mergeCell ref="CS6:CZ6"/>
    <mergeCell ref="DA6:DH6"/>
    <mergeCell ref="DI6:DP6"/>
    <mergeCell ref="DQ6:DX6"/>
    <mergeCell ref="DY6:EF6"/>
    <mergeCell ref="CC6:CJ6"/>
    <mergeCell ref="A4:G4"/>
    <mergeCell ref="A5:G5"/>
    <mergeCell ref="A6:G6"/>
    <mergeCell ref="Q6:X6"/>
    <mergeCell ref="Y6:AF6"/>
    <mergeCell ref="AG6:AN6"/>
    <mergeCell ref="AO6:AV6"/>
    <mergeCell ref="AW6:BD6"/>
    <mergeCell ref="BE6:BL6"/>
    <mergeCell ref="BM6:BT6"/>
    <mergeCell ref="BU6:CB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B01A6-ABB8-45C6-B133-5805269A0363}">
  <sheetPr>
    <tabColor rgb="FF00B050"/>
    <pageSetUpPr fitToPage="1"/>
  </sheetPr>
  <dimension ref="A1:AMN29"/>
  <sheetViews>
    <sheetView view="pageBreakPreview" zoomScale="90" zoomScaleNormal="100" zoomScaleSheetLayoutView="90" workbookViewId="0">
      <selection activeCell="H26" sqref="H26"/>
    </sheetView>
  </sheetViews>
  <sheetFormatPr defaultColWidth="8" defaultRowHeight="15" x14ac:dyDescent="0.25"/>
  <cols>
    <col min="1" max="1" width="5.875" style="238" customWidth="1"/>
    <col min="2" max="2" width="30.5" style="238" bestFit="1" customWidth="1"/>
    <col min="3" max="4" width="32.5" style="238" customWidth="1"/>
    <col min="5" max="5" width="29.625" style="240" customWidth="1"/>
    <col min="6" max="6" width="29.625" style="238" customWidth="1"/>
    <col min="7" max="7" width="14.5" style="241" bestFit="1" customWidth="1"/>
    <col min="8" max="8" width="15.125" style="293" customWidth="1"/>
    <col min="9" max="9" width="8" style="238"/>
    <col min="10" max="11" width="13.375" style="238" bestFit="1" customWidth="1"/>
    <col min="12" max="12" width="12.5" style="238" bestFit="1" customWidth="1"/>
    <col min="13" max="13" width="13.375" style="238" bestFit="1" customWidth="1"/>
    <col min="14" max="1028" width="8" style="238"/>
    <col min="1029" max="16384" width="8" style="295"/>
  </cols>
  <sheetData>
    <row r="1" spans="1:13" ht="42" customHeight="1" x14ac:dyDescent="0.25">
      <c r="A1" s="533"/>
      <c r="B1" s="533"/>
      <c r="C1" s="533"/>
      <c r="D1" s="533"/>
      <c r="E1" s="533"/>
      <c r="F1" s="533"/>
      <c r="G1" s="533"/>
      <c r="H1" s="533"/>
    </row>
    <row r="2" spans="1:13" ht="15.75" x14ac:dyDescent="0.25">
      <c r="A2" s="534" t="s">
        <v>423</v>
      </c>
      <c r="B2" s="535"/>
      <c r="C2" s="535"/>
      <c r="D2" s="535"/>
      <c r="E2" s="535"/>
      <c r="F2" s="535"/>
      <c r="G2" s="535"/>
      <c r="H2" s="536"/>
    </row>
    <row r="3" spans="1:13" x14ac:dyDescent="0.25">
      <c r="A3" s="239"/>
      <c r="H3" s="242"/>
    </row>
    <row r="4" spans="1:13" x14ac:dyDescent="0.25">
      <c r="A4" s="537" t="s">
        <v>424</v>
      </c>
      <c r="B4" s="538"/>
      <c r="C4" s="243" t="s">
        <v>425</v>
      </c>
      <c r="D4" s="243" t="s">
        <v>67</v>
      </c>
      <c r="E4" s="243" t="s">
        <v>187</v>
      </c>
      <c r="F4" s="243" t="s">
        <v>426</v>
      </c>
      <c r="G4" s="244" t="s">
        <v>427</v>
      </c>
      <c r="H4" s="245" t="s">
        <v>428</v>
      </c>
    </row>
    <row r="5" spans="1:13" x14ac:dyDescent="0.25">
      <c r="A5" s="239"/>
      <c r="H5" s="242"/>
    </row>
    <row r="6" spans="1:13" ht="15.75" x14ac:dyDescent="0.25">
      <c r="A6" s="246" t="s">
        <v>429</v>
      </c>
      <c r="B6" s="247"/>
      <c r="C6" s="247"/>
      <c r="D6" s="247"/>
      <c r="E6" s="248"/>
      <c r="F6" s="247"/>
      <c r="G6" s="249"/>
      <c r="H6" s="250">
        <f>H7+H10</f>
        <v>2718.0699999999997</v>
      </c>
    </row>
    <row r="7" spans="1:13" x14ac:dyDescent="0.25">
      <c r="A7" s="239"/>
      <c r="B7" s="251" t="s">
        <v>430</v>
      </c>
      <c r="C7" s="252"/>
      <c r="D7" s="252"/>
      <c r="E7" s="252"/>
      <c r="F7" s="252"/>
      <c r="G7" s="253"/>
      <c r="H7" s="254">
        <f>H8+H9</f>
        <v>2171.6999999999998</v>
      </c>
    </row>
    <row r="8" spans="1:13" x14ac:dyDescent="0.25">
      <c r="A8" s="239"/>
      <c r="B8" s="238" t="s">
        <v>431</v>
      </c>
      <c r="C8" s="240" t="s">
        <v>75</v>
      </c>
      <c r="D8" s="255">
        <v>34780</v>
      </c>
      <c r="E8" s="255" t="s">
        <v>126</v>
      </c>
      <c r="F8" s="256">
        <v>15</v>
      </c>
      <c r="G8" s="257">
        <v>125.58</v>
      </c>
      <c r="H8" s="258">
        <f>TRUNC(G8*F8,2)</f>
        <v>1883.7</v>
      </c>
      <c r="K8" s="259"/>
    </row>
    <row r="9" spans="1:13" x14ac:dyDescent="0.25">
      <c r="A9" s="239"/>
      <c r="B9" s="238" t="s">
        <v>432</v>
      </c>
      <c r="C9" s="240" t="s">
        <v>75</v>
      </c>
      <c r="D9" s="255">
        <v>7592</v>
      </c>
      <c r="E9" s="255" t="s">
        <v>126</v>
      </c>
      <c r="F9" s="255">
        <v>7.5</v>
      </c>
      <c r="G9" s="257">
        <v>38.4</v>
      </c>
      <c r="H9" s="258">
        <f>TRUNC(G9*F9,2)</f>
        <v>288</v>
      </c>
      <c r="K9" s="259"/>
    </row>
    <row r="10" spans="1:13" x14ac:dyDescent="0.25">
      <c r="A10" s="239"/>
      <c r="B10" s="251" t="s">
        <v>433</v>
      </c>
      <c r="C10" s="251"/>
      <c r="D10" s="260"/>
      <c r="E10" s="260"/>
      <c r="F10" s="260"/>
      <c r="G10" s="261"/>
      <c r="H10" s="254">
        <f>H11+H12</f>
        <v>546.37</v>
      </c>
    </row>
    <row r="11" spans="1:13" x14ac:dyDescent="0.25">
      <c r="A11" s="239"/>
      <c r="B11" s="238" t="s">
        <v>434</v>
      </c>
      <c r="C11" s="240" t="s">
        <v>75</v>
      </c>
      <c r="D11" s="255">
        <v>244</v>
      </c>
      <c r="E11" s="255" t="s">
        <v>126</v>
      </c>
      <c r="F11" s="255">
        <f>F9</f>
        <v>7.5</v>
      </c>
      <c r="G11" s="257">
        <v>17.27</v>
      </c>
      <c r="H11" s="258">
        <f>TRUNC(G11*F11,2)</f>
        <v>129.52000000000001</v>
      </c>
      <c r="K11" s="259"/>
    </row>
    <row r="12" spans="1:13" x14ac:dyDescent="0.25">
      <c r="A12" s="239"/>
      <c r="B12" s="238" t="s">
        <v>435</v>
      </c>
      <c r="C12" s="240" t="s">
        <v>75</v>
      </c>
      <c r="D12" s="255">
        <v>2359</v>
      </c>
      <c r="E12" s="255" t="s">
        <v>126</v>
      </c>
      <c r="F12" s="262">
        <f>F8</f>
        <v>15</v>
      </c>
      <c r="G12" s="257">
        <v>27.79</v>
      </c>
      <c r="H12" s="258">
        <f>TRUNC(G12*F12,2)</f>
        <v>416.85</v>
      </c>
      <c r="I12" s="263"/>
      <c r="K12" s="259"/>
    </row>
    <row r="13" spans="1:13" ht="15.75" x14ac:dyDescent="0.25">
      <c r="A13" s="246" t="s">
        <v>436</v>
      </c>
      <c r="B13" s="247"/>
      <c r="C13" s="247"/>
      <c r="D13" s="247"/>
      <c r="E13" s="248"/>
      <c r="F13" s="247"/>
      <c r="G13" s="264"/>
      <c r="H13" s="265">
        <f>H14</f>
        <v>0</v>
      </c>
    </row>
    <row r="14" spans="1:13" x14ac:dyDescent="0.25">
      <c r="A14" s="239"/>
      <c r="B14" s="238" t="s">
        <v>437</v>
      </c>
      <c r="C14" s="238" t="s">
        <v>438</v>
      </c>
      <c r="G14" s="266"/>
      <c r="H14" s="258"/>
    </row>
    <row r="15" spans="1:13" ht="15.75" x14ac:dyDescent="0.25">
      <c r="A15" s="539" t="s">
        <v>439</v>
      </c>
      <c r="B15" s="540"/>
      <c r="C15" s="267"/>
      <c r="D15" s="267"/>
      <c r="E15" s="248"/>
      <c r="F15" s="267"/>
      <c r="G15" s="264"/>
      <c r="H15" s="265">
        <f>SUM(H16:H18)</f>
        <v>779.78</v>
      </c>
      <c r="M15" s="268"/>
    </row>
    <row r="16" spans="1:13" ht="30" x14ac:dyDescent="0.25">
      <c r="A16" s="269"/>
      <c r="B16" s="270" t="s">
        <v>440</v>
      </c>
      <c r="C16" s="240"/>
      <c r="D16" s="271"/>
      <c r="E16" s="272" t="s">
        <v>441</v>
      </c>
      <c r="F16" s="271">
        <v>0.03</v>
      </c>
      <c r="G16" s="266">
        <f>H6+H14</f>
        <v>2718.0699999999997</v>
      </c>
      <c r="H16" s="273">
        <f t="shared" ref="H16:H18" si="0">TRUNC(G16*F16,2)</f>
        <v>81.540000000000006</v>
      </c>
    </row>
    <row r="17" spans="1:13" x14ac:dyDescent="0.25">
      <c r="A17" s="239"/>
      <c r="B17" s="238" t="s">
        <v>442</v>
      </c>
      <c r="C17" s="240" t="s">
        <v>75</v>
      </c>
      <c r="D17" s="240">
        <v>92145</v>
      </c>
      <c r="E17" s="240" t="s">
        <v>119</v>
      </c>
      <c r="F17" s="240">
        <v>8</v>
      </c>
      <c r="G17" s="274">
        <v>82.78</v>
      </c>
      <c r="H17" s="258">
        <f t="shared" si="0"/>
        <v>662.24</v>
      </c>
    </row>
    <row r="18" spans="1:13" s="238" customFormat="1" ht="30" x14ac:dyDescent="0.25">
      <c r="A18" s="239"/>
      <c r="B18" s="275" t="s">
        <v>443</v>
      </c>
      <c r="C18" s="240" t="s">
        <v>75</v>
      </c>
      <c r="D18" s="240">
        <v>7247</v>
      </c>
      <c r="E18" s="240" t="s">
        <v>119</v>
      </c>
      <c r="F18" s="240">
        <v>16</v>
      </c>
      <c r="G18" s="257">
        <v>2.25</v>
      </c>
      <c r="H18" s="258">
        <f t="shared" si="0"/>
        <v>36</v>
      </c>
    </row>
    <row r="19" spans="1:13" s="238" customFormat="1" ht="15.75" x14ac:dyDescent="0.25">
      <c r="A19" s="539" t="s">
        <v>444</v>
      </c>
      <c r="B19" s="540"/>
      <c r="C19" s="540"/>
      <c r="D19" s="267"/>
      <c r="E19" s="267"/>
      <c r="F19" s="248"/>
      <c r="G19" s="276"/>
      <c r="H19" s="277">
        <f>H20</f>
        <v>2660</v>
      </c>
    </row>
    <row r="20" spans="1:13" s="238" customFormat="1" x14ac:dyDescent="0.2">
      <c r="A20" s="541"/>
      <c r="B20" s="542"/>
      <c r="C20" s="270" t="s">
        <v>445</v>
      </c>
      <c r="D20" s="240" t="s">
        <v>446</v>
      </c>
      <c r="E20" s="240">
        <f>'MC '!F4*'MC '!F5</f>
        <v>14000</v>
      </c>
      <c r="F20" s="240" t="s">
        <v>447</v>
      </c>
      <c r="G20" s="266">
        <f>'CPU ENSAIOS'!H18</f>
        <v>0.19</v>
      </c>
      <c r="H20" s="278">
        <f>TRUNC(G20*E20,2)</f>
        <v>2660</v>
      </c>
    </row>
    <row r="21" spans="1:13" s="238" customFormat="1" x14ac:dyDescent="0.25">
      <c r="A21" s="527" t="s">
        <v>448</v>
      </c>
      <c r="B21" s="528"/>
      <c r="C21" s="279"/>
      <c r="D21" s="280"/>
      <c r="E21" s="280"/>
      <c r="F21" s="279"/>
      <c r="G21" s="281"/>
      <c r="H21" s="282">
        <f>H6+H13+H15+H19</f>
        <v>6157.8499999999995</v>
      </c>
    </row>
    <row r="22" spans="1:13" s="238" customFormat="1" x14ac:dyDescent="0.25">
      <c r="A22" s="529" t="s">
        <v>449</v>
      </c>
      <c r="B22" s="530"/>
      <c r="C22" s="270"/>
      <c r="D22" s="271"/>
      <c r="E22" s="270" t="s">
        <v>450</v>
      </c>
      <c r="F22" s="271">
        <v>2.5000000000000001E-2</v>
      </c>
      <c r="G22" s="266">
        <f>H21</f>
        <v>6157.8499999999995</v>
      </c>
      <c r="H22" s="258">
        <f>TRUNC(G22*F22,2)</f>
        <v>153.94</v>
      </c>
    </row>
    <row r="23" spans="1:13" s="238" customFormat="1" x14ac:dyDescent="0.25">
      <c r="A23" s="529"/>
      <c r="B23" s="530"/>
      <c r="C23" s="270"/>
      <c r="D23" s="271"/>
      <c r="E23" s="240"/>
      <c r="F23" s="271"/>
      <c r="G23" s="266"/>
      <c r="H23" s="283"/>
    </row>
    <row r="24" spans="1:13" s="238" customFormat="1" x14ac:dyDescent="0.25">
      <c r="A24" s="531" t="s">
        <v>451</v>
      </c>
      <c r="B24" s="532"/>
      <c r="C24" s="284"/>
      <c r="D24" s="284"/>
      <c r="E24" s="285"/>
      <c r="F24" s="284"/>
      <c r="G24" s="286"/>
      <c r="H24" s="287">
        <f>H21+H22</f>
        <v>6311.7899999999991</v>
      </c>
      <c r="J24" s="268"/>
      <c r="K24" s="268"/>
      <c r="L24" s="268"/>
    </row>
    <row r="25" spans="1:13" s="238" customFormat="1" x14ac:dyDescent="0.25">
      <c r="A25" s="288"/>
      <c r="E25" s="240"/>
      <c r="G25" s="241"/>
      <c r="H25" s="242"/>
    </row>
    <row r="26" spans="1:13" s="238" customFormat="1" x14ac:dyDescent="0.2">
      <c r="A26" s="289"/>
      <c r="B26" s="290"/>
      <c r="C26" s="290"/>
      <c r="D26" s="290"/>
      <c r="E26" s="237"/>
      <c r="F26" s="290"/>
      <c r="G26" s="291" t="s">
        <v>452</v>
      </c>
      <c r="H26" s="291">
        <f>TRUNC(H24/(E20),2)</f>
        <v>0.45</v>
      </c>
    </row>
    <row r="28" spans="1:13" x14ac:dyDescent="0.25">
      <c r="H28" s="292"/>
    </row>
    <row r="29" spans="1:13" s="238" customFormat="1" x14ac:dyDescent="0.2">
      <c r="E29" s="240"/>
      <c r="G29" s="241"/>
      <c r="H29" s="293"/>
      <c r="M29" s="294"/>
    </row>
  </sheetData>
  <mergeCells count="10">
    <mergeCell ref="A21:B21"/>
    <mergeCell ref="A22:B22"/>
    <mergeCell ref="A23:B23"/>
    <mergeCell ref="A24:B24"/>
    <mergeCell ref="A1:H1"/>
    <mergeCell ref="A2:H2"/>
    <mergeCell ref="A4:B4"/>
    <mergeCell ref="A15:B15"/>
    <mergeCell ref="A19:C19"/>
    <mergeCell ref="A20:B20"/>
  </mergeCells>
  <pageMargins left="0.511811024" right="0.511811024" top="0.78740157499999996" bottom="0.78740157499999996" header="0.31496062000000002" footer="0.31496062000000002"/>
  <pageSetup paperSize="9" scale="6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B8837-F7D8-446A-8BE6-1B4745C54AF0}">
  <dimension ref="A1:I20"/>
  <sheetViews>
    <sheetView view="pageBreakPreview" zoomScaleNormal="100" zoomScaleSheetLayoutView="100" workbookViewId="0">
      <selection activeCell="B21" sqref="B21"/>
    </sheetView>
  </sheetViews>
  <sheetFormatPr defaultRowHeight="15" x14ac:dyDescent="0.25"/>
  <cols>
    <col min="1" max="1" width="12.75" style="296" customWidth="1"/>
    <col min="2" max="2" width="9.875" style="296" customWidth="1"/>
    <col min="3" max="3" width="9.375" style="296" customWidth="1"/>
    <col min="4" max="4" width="25.25" style="296" customWidth="1"/>
    <col min="5" max="8" width="12.125" style="296" customWidth="1"/>
    <col min="9" max="16384" width="9" style="296"/>
  </cols>
  <sheetData>
    <row r="1" spans="1:9" x14ac:dyDescent="0.25">
      <c r="G1" s="297" t="s">
        <v>65</v>
      </c>
    </row>
    <row r="2" spans="1:9" ht="19.5" customHeight="1" x14ac:dyDescent="0.25">
      <c r="G2" s="543" t="str">
        <f>'Orçamento Sintético'!F2</f>
        <v>SINAPI - 09/2023 - Bahia
SICRO3 - 07/2023 - Bahia
ORSE - 09/2023 - Sergipe</v>
      </c>
      <c r="H2" s="543"/>
    </row>
    <row r="3" spans="1:9" ht="26.25" customHeight="1" x14ac:dyDescent="0.25">
      <c r="G3" s="543"/>
      <c r="H3" s="543"/>
    </row>
    <row r="4" spans="1:9" ht="31.5" customHeight="1" x14ac:dyDescent="0.25">
      <c r="A4" s="544" t="str">
        <f>'Orçamento Sintético'!B4</f>
        <v>EXECUÇÃO DE SERVIÇOS DE PAVIMENTAÇÃO COM TRATAMENTO SUPERFICIAL DUPLO EM VIAS DOS MUNICÍPIOS DIVERSOS INSERIDOS NA ÁREA DE ATUAÇÃO DA 6ª SUPERINTENDÊNCIA DA CODEVASF EM JUAZEIRO/BA - LOTE 01</v>
      </c>
      <c r="B4" s="544"/>
      <c r="C4" s="544"/>
      <c r="D4" s="544"/>
      <c r="E4" s="544"/>
      <c r="F4" s="544"/>
      <c r="G4" s="544"/>
      <c r="H4" s="544"/>
    </row>
    <row r="5" spans="1:9" ht="15" customHeight="1" x14ac:dyDescent="0.25">
      <c r="A5" s="464" t="s">
        <v>108</v>
      </c>
      <c r="B5" s="464"/>
      <c r="C5" s="464"/>
      <c r="D5" s="464"/>
      <c r="E5" s="464"/>
      <c r="F5" s="464"/>
      <c r="G5" s="464"/>
      <c r="H5" s="464"/>
    </row>
    <row r="6" spans="1:9" ht="15" customHeight="1" x14ac:dyDescent="0.25">
      <c r="A6" s="464" t="s">
        <v>109</v>
      </c>
      <c r="B6" s="464"/>
      <c r="C6" s="464"/>
      <c r="D6" s="464"/>
      <c r="E6" s="464"/>
      <c r="F6" s="464"/>
      <c r="G6" s="464"/>
      <c r="H6" s="464"/>
    </row>
    <row r="7" spans="1:9" x14ac:dyDescent="0.25">
      <c r="A7" s="549" t="s">
        <v>453</v>
      </c>
      <c r="B7" s="549"/>
      <c r="C7" s="549"/>
      <c r="G7" s="550"/>
      <c r="H7" s="550"/>
    </row>
    <row r="8" spans="1:9" x14ac:dyDescent="0.25">
      <c r="A8" s="298" t="s">
        <v>454</v>
      </c>
      <c r="B8" s="299">
        <f>'[11]ENC. SOCIAIS'!E51</f>
        <v>1.1515</v>
      </c>
      <c r="G8" s="543"/>
      <c r="H8" s="543"/>
    </row>
    <row r="9" spans="1:9" x14ac:dyDescent="0.25">
      <c r="A9" s="298" t="s">
        <v>455</v>
      </c>
      <c r="B9" s="299">
        <f>'[11]ENC. SOCIAIS'!F51</f>
        <v>0.71220000000000006</v>
      </c>
      <c r="G9" s="300"/>
      <c r="H9" s="301"/>
    </row>
    <row r="10" spans="1:9" s="303" customFormat="1" x14ac:dyDescent="0.25">
      <c r="A10" s="554" t="s">
        <v>456</v>
      </c>
      <c r="B10" s="554" t="s">
        <v>457</v>
      </c>
      <c r="C10" s="554"/>
      <c r="D10" s="556" t="s">
        <v>458</v>
      </c>
      <c r="E10" s="554" t="s">
        <v>7</v>
      </c>
      <c r="F10" s="545" t="s">
        <v>459</v>
      </c>
      <c r="G10" s="545" t="s">
        <v>460</v>
      </c>
      <c r="H10" s="545" t="s">
        <v>461</v>
      </c>
      <c r="I10" s="302"/>
    </row>
    <row r="11" spans="1:9" s="303" customFormat="1" x14ac:dyDescent="0.25">
      <c r="A11" s="555"/>
      <c r="B11" s="555"/>
      <c r="C11" s="555"/>
      <c r="D11" s="557"/>
      <c r="E11" s="555"/>
      <c r="F11" s="546"/>
      <c r="G11" s="546"/>
      <c r="H11" s="546"/>
      <c r="I11" s="302"/>
    </row>
    <row r="12" spans="1:9" s="303" customFormat="1" x14ac:dyDescent="0.25">
      <c r="A12" s="304" t="s">
        <v>120</v>
      </c>
      <c r="B12" s="304" t="s">
        <v>462</v>
      </c>
      <c r="C12" s="304" t="s">
        <v>463</v>
      </c>
      <c r="D12" s="305" t="s">
        <v>464</v>
      </c>
      <c r="E12" s="304" t="s">
        <v>465</v>
      </c>
      <c r="F12" s="306">
        <f>0.15/'MC '!$F$6</f>
        <v>1.0714285714285714E-5</v>
      </c>
      <c r="G12" s="307">
        <f>3262.6*(1+B9)</f>
        <v>5586.22372</v>
      </c>
      <c r="H12" s="308">
        <f>TRUNC(F12*G12,4)</f>
        <v>5.9799999999999999E-2</v>
      </c>
      <c r="I12" s="302"/>
    </row>
    <row r="13" spans="1:9" s="303" customFormat="1" x14ac:dyDescent="0.25">
      <c r="A13" s="309" t="s">
        <v>120</v>
      </c>
      <c r="B13" s="309" t="s">
        <v>462</v>
      </c>
      <c r="C13" s="309" t="s">
        <v>466</v>
      </c>
      <c r="D13" s="310" t="s">
        <v>467</v>
      </c>
      <c r="E13" s="309" t="s">
        <v>465</v>
      </c>
      <c r="F13" s="311">
        <f>0.15/'MC '!$F$6</f>
        <v>1.0714285714285714E-5</v>
      </c>
      <c r="G13" s="312">
        <f>2378.3386*(1+B9)</f>
        <v>4072.1913509200003</v>
      </c>
      <c r="H13" s="308">
        <f t="shared" ref="H13:H15" si="0">TRUNC(F13*G13,4)</f>
        <v>4.36E-2</v>
      </c>
      <c r="I13" s="302"/>
    </row>
    <row r="14" spans="1:9" s="303" customFormat="1" x14ac:dyDescent="0.25">
      <c r="A14" s="309" t="s">
        <v>111</v>
      </c>
      <c r="B14" s="309" t="s">
        <v>462</v>
      </c>
      <c r="C14" s="309" t="s">
        <v>468</v>
      </c>
      <c r="D14" s="310" t="s">
        <v>469</v>
      </c>
      <c r="E14" s="309" t="s">
        <v>465</v>
      </c>
      <c r="F14" s="311">
        <f>0.15/'MC '!$F$6</f>
        <v>1.0714285714285714E-5</v>
      </c>
      <c r="G14" s="312">
        <v>4235.59</v>
      </c>
      <c r="H14" s="308">
        <f t="shared" si="0"/>
        <v>4.53E-2</v>
      </c>
      <c r="I14" s="302"/>
    </row>
    <row r="15" spans="1:9" s="303" customFormat="1" x14ac:dyDescent="0.25">
      <c r="A15" s="313" t="s">
        <v>111</v>
      </c>
      <c r="B15" s="313" t="s">
        <v>462</v>
      </c>
      <c r="C15" s="313" t="s">
        <v>470</v>
      </c>
      <c r="D15" s="314" t="s">
        <v>599</v>
      </c>
      <c r="E15" s="313" t="s">
        <v>465</v>
      </c>
      <c r="F15" s="315">
        <f>0.15/'MC '!$F$6</f>
        <v>1.0714285714285714E-5</v>
      </c>
      <c r="G15" s="316">
        <v>4285.2299999999996</v>
      </c>
      <c r="H15" s="308">
        <f t="shared" si="0"/>
        <v>4.5900000000000003E-2</v>
      </c>
      <c r="I15" s="302"/>
    </row>
    <row r="16" spans="1:9" s="303" customFormat="1" x14ac:dyDescent="0.25">
      <c r="A16" s="317"/>
      <c r="B16" s="318" t="s">
        <v>471</v>
      </c>
      <c r="C16" s="319"/>
      <c r="D16" s="319"/>
      <c r="E16" s="547" t="s">
        <v>472</v>
      </c>
      <c r="F16" s="547"/>
      <c r="G16" s="548"/>
      <c r="H16" s="320">
        <f>SUM(H12:H15)</f>
        <v>0.1946</v>
      </c>
      <c r="I16" s="302"/>
    </row>
    <row r="17" spans="1:9" s="303" customFormat="1" x14ac:dyDescent="0.25">
      <c r="A17" s="321"/>
      <c r="B17" s="322"/>
      <c r="C17" s="322"/>
      <c r="D17" s="322"/>
      <c r="E17" s="323"/>
      <c r="F17" s="324"/>
      <c r="G17" s="325"/>
      <c r="H17" s="326"/>
      <c r="I17" s="302"/>
    </row>
    <row r="18" spans="1:9" s="303" customFormat="1" x14ac:dyDescent="0.25">
      <c r="A18" s="327"/>
      <c r="B18" s="328"/>
      <c r="C18" s="328"/>
      <c r="D18" s="328"/>
      <c r="E18" s="329" t="s">
        <v>473</v>
      </c>
      <c r="F18" s="551" t="s">
        <v>474</v>
      </c>
      <c r="G18" s="552"/>
      <c r="H18" s="330">
        <f>ROUND(H16+H17,2)</f>
        <v>0.19</v>
      </c>
      <c r="I18" s="331"/>
    </row>
    <row r="20" spans="1:9" x14ac:dyDescent="0.25">
      <c r="A20" s="553" t="s">
        <v>475</v>
      </c>
      <c r="B20" s="553"/>
      <c r="C20" s="553"/>
      <c r="D20" s="553"/>
      <c r="E20" s="553"/>
      <c r="F20" s="553"/>
      <c r="G20" s="553"/>
      <c r="H20" s="553"/>
    </row>
  </sheetData>
  <mergeCells count="18">
    <mergeCell ref="F18:G18"/>
    <mergeCell ref="A20:H20"/>
    <mergeCell ref="A10:A11"/>
    <mergeCell ref="B10:B11"/>
    <mergeCell ref="C10:C11"/>
    <mergeCell ref="D10:D11"/>
    <mergeCell ref="E10:E11"/>
    <mergeCell ref="F10:F11"/>
    <mergeCell ref="G2:H3"/>
    <mergeCell ref="A4:H4"/>
    <mergeCell ref="G10:G11"/>
    <mergeCell ref="H10:H11"/>
    <mergeCell ref="E16:G16"/>
    <mergeCell ref="G8:H8"/>
    <mergeCell ref="A5:H5"/>
    <mergeCell ref="A6:H6"/>
    <mergeCell ref="A7:C7"/>
    <mergeCell ref="G7:H7"/>
  </mergeCells>
  <pageMargins left="0.511811024" right="0.511811024" top="0.78740157499999996" bottom="0.78740157499999996" header="0.31496062000000002" footer="0.31496062000000002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13</vt:i4>
      </vt:variant>
    </vt:vector>
  </HeadingPairs>
  <TitlesOfParts>
    <vt:vector size="23" baseType="lpstr">
      <vt:lpstr>RESUMO</vt:lpstr>
      <vt:lpstr>Orçamento Sintético</vt:lpstr>
      <vt:lpstr>MC </vt:lpstr>
      <vt:lpstr>CFF</vt:lpstr>
      <vt:lpstr>CPUs</vt:lpstr>
      <vt:lpstr>Mob. e Desmob.</vt:lpstr>
      <vt:lpstr>Mat. Betuminoso</vt:lpstr>
      <vt:lpstr>Projeto Executivo</vt:lpstr>
      <vt:lpstr>CPU ENSAIOS</vt:lpstr>
      <vt:lpstr>CURVA ABC</vt:lpstr>
      <vt:lpstr>CFF!Area_de_impressao</vt:lpstr>
      <vt:lpstr>CPUs!Area_de_impressao</vt:lpstr>
      <vt:lpstr>'CURVA ABC'!Area_de_impressao</vt:lpstr>
      <vt:lpstr>'Mat. Betuminoso'!Area_de_impressao</vt:lpstr>
      <vt:lpstr>'MC '!Area_de_impressao</vt:lpstr>
      <vt:lpstr>'Mob. e Desmob.'!Area_de_impressao</vt:lpstr>
      <vt:lpstr>'Orçamento Sintético'!Area_de_impressao</vt:lpstr>
      <vt:lpstr>'Projeto Executivo'!Area_de_impressao</vt:lpstr>
      <vt:lpstr>RESUMO!Area_de_impressao</vt:lpstr>
      <vt:lpstr>CPUs!Titulos_de_impressao</vt:lpstr>
      <vt:lpstr>'CURVA ABC'!Titulos_de_impressao</vt:lpstr>
      <vt:lpstr>'MC 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thiago felipe</cp:lastModifiedBy>
  <cp:revision>0</cp:revision>
  <cp:lastPrinted>2023-11-21T18:25:20Z</cp:lastPrinted>
  <dcterms:created xsi:type="dcterms:W3CDTF">2022-06-14T11:05:27Z</dcterms:created>
  <dcterms:modified xsi:type="dcterms:W3CDTF">2023-11-22T18:01:10Z</dcterms:modified>
</cp:coreProperties>
</file>