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RIVE\ad.goi\PISF\Licitações\Licitação drenagem e impermeabilização forebay EBV-2\PR_SL\"/>
    </mc:Choice>
  </mc:AlternateContent>
  <bookViews>
    <workbookView xWindow="0" yWindow="0" windowWidth="24000" windowHeight="9510" tabRatio="953"/>
  </bookViews>
  <sheets>
    <sheet name="CAPA" sheetId="74" r:id="rId1"/>
    <sheet name="RESUMO" sheetId="27" r:id="rId2"/>
    <sheet name="ORÇAMENTO" sheetId="26" r:id="rId3"/>
    <sheet name="CRONOGRAMA" sheetId="63" r:id="rId4"/>
    <sheet name="MEMÓRIA" sheetId="25" r:id="rId5"/>
    <sheet name="MEMÓRIA - REMOÇÃO DE BLOCOS" sheetId="73" r:id="rId6"/>
    <sheet name="TRANSPORTES" sheetId="65" r:id="rId7"/>
    <sheet name="TRANSP.MAT.BET.REAJ." sheetId="67" r:id="rId8"/>
    <sheet name="DMT" sheetId="39" r:id="rId9"/>
    <sheet name="BDI" sheetId="28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aga14" localSheetId="3">#REF!</definedName>
    <definedName name="_________aga14" localSheetId="7">#REF!</definedName>
    <definedName name="_________aga14">#REF!</definedName>
    <definedName name="_________aga16" localSheetId="3">#REF!</definedName>
    <definedName name="_________aga16" localSheetId="7">#REF!</definedName>
    <definedName name="_________aga16">#REF!</definedName>
    <definedName name="_________asc321" localSheetId="3">#REF!</definedName>
    <definedName name="_________asc321" localSheetId="7">#REF!</definedName>
    <definedName name="_________asc321">#REF!</definedName>
    <definedName name="_________bur3220" localSheetId="3">#REF!</definedName>
    <definedName name="_________bur3220" localSheetId="7">#REF!</definedName>
    <definedName name="_________bur3220">#REF!</definedName>
    <definedName name="_________cap20" localSheetId="3">#REF!</definedName>
    <definedName name="_________cap20" localSheetId="7">#REF!</definedName>
    <definedName name="_________cap20">#REF!</definedName>
    <definedName name="_________ccr12" localSheetId="3">#REF!</definedName>
    <definedName name="_________ccr12" localSheetId="7">#REF!</definedName>
    <definedName name="_________ccr12">#REF!</definedName>
    <definedName name="_________cva32" localSheetId="3">#REF!</definedName>
    <definedName name="_________cva32" localSheetId="7">#REF!</definedName>
    <definedName name="_________cva32">#REF!</definedName>
    <definedName name="_________cva50" localSheetId="3">#REF!</definedName>
    <definedName name="_________cva50" localSheetId="7">#REF!</definedName>
    <definedName name="_________cva50">#REF!</definedName>
    <definedName name="_________cva60" localSheetId="3">#REF!</definedName>
    <definedName name="_________cva60" localSheetId="7">#REF!</definedName>
    <definedName name="_________cva60">#REF!</definedName>
    <definedName name="_________cve45100" localSheetId="3">#REF!</definedName>
    <definedName name="_________cve45100" localSheetId="7">#REF!</definedName>
    <definedName name="_________cve45100">#REF!</definedName>
    <definedName name="_________cve90100" localSheetId="3">#REF!</definedName>
    <definedName name="_________cve90100" localSheetId="7">#REF!</definedName>
    <definedName name="_________cve90100">#REF!</definedName>
    <definedName name="_________cve9040" localSheetId="3">#REF!</definedName>
    <definedName name="_________cve9040" localSheetId="7">#REF!</definedName>
    <definedName name="_________cve9040">#REF!</definedName>
    <definedName name="_________djm10" localSheetId="3">#REF!</definedName>
    <definedName name="_________djm10" localSheetId="7">#REF!</definedName>
    <definedName name="_________djm10">#REF!</definedName>
    <definedName name="_________djm15" localSheetId="3">#REF!</definedName>
    <definedName name="_________djm15" localSheetId="7">#REF!</definedName>
    <definedName name="_________djm15">#REF!</definedName>
    <definedName name="_________epl2" localSheetId="3">#REF!</definedName>
    <definedName name="_________epl2" localSheetId="7">#REF!</definedName>
    <definedName name="_________epl2">#REF!</definedName>
    <definedName name="_________epl5" localSheetId="3">#REF!</definedName>
    <definedName name="_________epl5" localSheetId="7">#REF!</definedName>
    <definedName name="_________epl5">#REF!</definedName>
    <definedName name="_________est15" localSheetId="3">#REF!</definedName>
    <definedName name="_________est15" localSheetId="7">#REF!</definedName>
    <definedName name="_________est15">#REF!</definedName>
    <definedName name="_________fil1" localSheetId="3">#REF!</definedName>
    <definedName name="_________fil1" localSheetId="7">#REF!</definedName>
    <definedName name="_________fil1">#REF!</definedName>
    <definedName name="_________fil2" localSheetId="3">#REF!</definedName>
    <definedName name="_________fil2" localSheetId="7">#REF!</definedName>
    <definedName name="_________fil2">#REF!</definedName>
    <definedName name="_________fio12" localSheetId="3">#REF!</definedName>
    <definedName name="_________fio12" localSheetId="7">#REF!</definedName>
    <definedName name="_________fio12">#REF!</definedName>
    <definedName name="_________fis5" localSheetId="3">#REF!</definedName>
    <definedName name="_________fis5" localSheetId="7">#REF!</definedName>
    <definedName name="_________fis5">#REF!</definedName>
    <definedName name="_________flf50" localSheetId="3">#REF!</definedName>
    <definedName name="_________flf50" localSheetId="7">#REF!</definedName>
    <definedName name="_________flf50">#REF!</definedName>
    <definedName name="_________flf60" localSheetId="3">#REF!</definedName>
    <definedName name="_________flf60" localSheetId="7">#REF!</definedName>
    <definedName name="_________flf60">#REF!</definedName>
    <definedName name="_________fpd12" localSheetId="3">#REF!</definedName>
    <definedName name="_________fpd12" localSheetId="7">#REF!</definedName>
    <definedName name="_________fpd12">#REF!</definedName>
    <definedName name="_________fvr10" localSheetId="3">#REF!</definedName>
    <definedName name="_________fvr10" localSheetId="7">#REF!</definedName>
    <definedName name="_________fvr10">#REF!</definedName>
    <definedName name="_________itu1" localSheetId="3">#REF!</definedName>
    <definedName name="_________itu1" localSheetId="7">#REF!</definedName>
    <definedName name="_________itu1">#REF!</definedName>
    <definedName name="_________jla20" localSheetId="3">#REF!</definedName>
    <definedName name="_________jla20" localSheetId="7">#REF!</definedName>
    <definedName name="_________jla20">#REF!</definedName>
    <definedName name="_________jla32" localSheetId="3">#REF!</definedName>
    <definedName name="_________jla32" localSheetId="7">#REF!</definedName>
    <definedName name="_________jla32">#REF!</definedName>
    <definedName name="_________lpi100" localSheetId="3">#REF!</definedName>
    <definedName name="_________lpi100" localSheetId="7">#REF!</definedName>
    <definedName name="_________lpi100">#REF!</definedName>
    <definedName name="_________lvg10060" localSheetId="3">#REF!</definedName>
    <definedName name="_________lvg10060" localSheetId="7">#REF!</definedName>
    <definedName name="_________lvg10060">#REF!</definedName>
    <definedName name="_________lvp32" localSheetId="3">#REF!</definedName>
    <definedName name="_________lvp32" localSheetId="7">#REF!</definedName>
    <definedName name="_________lvp32">#REF!</definedName>
    <definedName name="_________lxa1" localSheetId="3">#REF!</definedName>
    <definedName name="_________lxa1" localSheetId="7">#REF!</definedName>
    <definedName name="_________lxa1">#REF!</definedName>
    <definedName name="_________man50" localSheetId="3">#REF!</definedName>
    <definedName name="_________man50" localSheetId="7">#REF!</definedName>
    <definedName name="_________man50">#REF!</definedName>
    <definedName name="_________ope1" localSheetId="3">#REF!</definedName>
    <definedName name="_________ope1" localSheetId="7">#REF!</definedName>
    <definedName name="_________ope1">#REF!</definedName>
    <definedName name="_________ope2" localSheetId="3">#REF!</definedName>
    <definedName name="_________ope2" localSheetId="7">#REF!</definedName>
    <definedName name="_________ope2">#REF!</definedName>
    <definedName name="_________ope3" localSheetId="3">#REF!</definedName>
    <definedName name="_________ope3" localSheetId="7">#REF!</definedName>
    <definedName name="_________ope3">#REF!</definedName>
    <definedName name="_________pne1" localSheetId="3">#REF!</definedName>
    <definedName name="_________pne1" localSheetId="7">#REF!</definedName>
    <definedName name="_________pne1">#REF!</definedName>
    <definedName name="_________pne2" localSheetId="3">#REF!</definedName>
    <definedName name="_________pne2" localSheetId="7">#REF!</definedName>
    <definedName name="_________pne2">#REF!</definedName>
    <definedName name="_________prg1515" localSheetId="3">#REF!</definedName>
    <definedName name="_________prg1515" localSheetId="7">#REF!</definedName>
    <definedName name="_________prg1515">#REF!</definedName>
    <definedName name="_________prg1827" localSheetId="3">#REF!</definedName>
    <definedName name="_________prg1827" localSheetId="7">#REF!</definedName>
    <definedName name="_________prg1827">#REF!</definedName>
    <definedName name="_________ptc7" localSheetId="3">#REF!</definedName>
    <definedName name="_________ptc7" localSheetId="7">#REF!</definedName>
    <definedName name="_________ptc7">#REF!</definedName>
    <definedName name="_________ptm6" localSheetId="3">#REF!</definedName>
    <definedName name="_________ptm6" localSheetId="7">#REF!</definedName>
    <definedName name="_________ptm6">#REF!</definedName>
    <definedName name="_________qdm3" localSheetId="3">#REF!</definedName>
    <definedName name="_________qdm3" localSheetId="7">#REF!</definedName>
    <definedName name="_________qdm3">#REF!</definedName>
    <definedName name="_________rcm10" localSheetId="3">#REF!</definedName>
    <definedName name="_________rcm10" localSheetId="7">#REF!</definedName>
    <definedName name="_________rcm10">#REF!</definedName>
    <definedName name="_________rcm15" localSheetId="3">#REF!</definedName>
    <definedName name="_________rcm15" localSheetId="7">#REF!</definedName>
    <definedName name="_________rcm15">#REF!</definedName>
    <definedName name="_________rcm20" localSheetId="3">#REF!</definedName>
    <definedName name="_________rcm20" localSheetId="7">#REF!</definedName>
    <definedName name="_________rcm20">#REF!</definedName>
    <definedName name="_________rcm5" localSheetId="3">#REF!</definedName>
    <definedName name="_________rcm5" localSheetId="7">#REF!</definedName>
    <definedName name="_________rcm5">#REF!</definedName>
    <definedName name="_________res10" localSheetId="3">#REF!</definedName>
    <definedName name="_________res10" localSheetId="7">#REF!</definedName>
    <definedName name="_________res10">#REF!</definedName>
    <definedName name="_________res15" localSheetId="3">#REF!</definedName>
    <definedName name="_________res15" localSheetId="7">#REF!</definedName>
    <definedName name="_________res15">#REF!</definedName>
    <definedName name="_________res5" localSheetId="3">#REF!</definedName>
    <definedName name="_________res5" localSheetId="7">#REF!</definedName>
    <definedName name="_________res5">#REF!</definedName>
    <definedName name="_________rge32" localSheetId="3">#REF!</definedName>
    <definedName name="_________rge32" localSheetId="7">#REF!</definedName>
    <definedName name="_________rge32">#REF!</definedName>
    <definedName name="_________rgf60" localSheetId="3">#REF!</definedName>
    <definedName name="_________rgf60" localSheetId="7">#REF!</definedName>
    <definedName name="_________rgf60">#REF!</definedName>
    <definedName name="_________rgp1" localSheetId="3">#REF!</definedName>
    <definedName name="_________rgp1" localSheetId="7">#REF!</definedName>
    <definedName name="_________rgp1">#REF!</definedName>
    <definedName name="_________tap100" localSheetId="3">#REF!</definedName>
    <definedName name="_________tap100" localSheetId="7">#REF!</definedName>
    <definedName name="_________tap100">#REF!</definedName>
    <definedName name="_________tb112" localSheetId="3">#REF!</definedName>
    <definedName name="_________tb112" localSheetId="7">#REF!</definedName>
    <definedName name="_________tb112">#REF!</definedName>
    <definedName name="_________tb16" localSheetId="3">#REF!</definedName>
    <definedName name="_________tb16" localSheetId="7">#REF!</definedName>
    <definedName name="_________tb16">#REF!</definedName>
    <definedName name="_________tb19" localSheetId="3">#REF!</definedName>
    <definedName name="_________tb19" localSheetId="7">#REF!</definedName>
    <definedName name="_________tb19">#REF!</definedName>
    <definedName name="_________tba20" localSheetId="3">#REF!</definedName>
    <definedName name="_________tba20" localSheetId="7">#REF!</definedName>
    <definedName name="_________tba20">#REF!</definedName>
    <definedName name="_________tba32" localSheetId="3">#REF!</definedName>
    <definedName name="_________tba32" localSheetId="7">#REF!</definedName>
    <definedName name="_________tba32">#REF!</definedName>
    <definedName name="_________tba50" localSheetId="3">#REF!</definedName>
    <definedName name="_________tba50" localSheetId="7">#REF!</definedName>
    <definedName name="_________tba50">#REF!</definedName>
    <definedName name="_________tba60" localSheetId="3">#REF!</definedName>
    <definedName name="_________tba60" localSheetId="7">#REF!</definedName>
    <definedName name="_________tba60">#REF!</definedName>
    <definedName name="_________tbe100" localSheetId="3">#REF!</definedName>
    <definedName name="_________tbe100" localSheetId="7">#REF!</definedName>
    <definedName name="_________tbe100">#REF!</definedName>
    <definedName name="_________tbe40" localSheetId="3">#REF!</definedName>
    <definedName name="_________tbe40" localSheetId="7">#REF!</definedName>
    <definedName name="_________tbe40">#REF!</definedName>
    <definedName name="_________tbe50" localSheetId="3">#REF!</definedName>
    <definedName name="_________tbe50" localSheetId="7">#REF!</definedName>
    <definedName name="_________tbe50">#REF!</definedName>
    <definedName name="_________tca80" localSheetId="3">#REF!</definedName>
    <definedName name="_________tca80" localSheetId="7">#REF!</definedName>
    <definedName name="_________tca80">#REF!</definedName>
    <definedName name="_________tea32" localSheetId="3">#REF!</definedName>
    <definedName name="_________tea32" localSheetId="7">#REF!</definedName>
    <definedName name="_________tea32">#REF!</definedName>
    <definedName name="_________tea4560" localSheetId="3">#REF!</definedName>
    <definedName name="_________tea4560" localSheetId="7">#REF!</definedName>
    <definedName name="_________tea4560">#REF!</definedName>
    <definedName name="_________tee100" localSheetId="3">#REF!</definedName>
    <definedName name="_________tee100" localSheetId="7">#REF!</definedName>
    <definedName name="_________tee100">#REF!</definedName>
    <definedName name="_________ter10050" localSheetId="3">#REF!</definedName>
    <definedName name="_________ter10050" localSheetId="7">#REF!</definedName>
    <definedName name="_________ter10050">#REF!</definedName>
    <definedName name="_________tfg50" localSheetId="3">#REF!</definedName>
    <definedName name="_________tfg50" localSheetId="7">#REF!</definedName>
    <definedName name="_________tfg50">#REF!</definedName>
    <definedName name="_________tlf6" localSheetId="3">#REF!</definedName>
    <definedName name="_________tlf6" localSheetId="7">#REF!</definedName>
    <definedName name="_________tlf6">#REF!</definedName>
    <definedName name="_________tub10012" localSheetId="3">#REF!</definedName>
    <definedName name="_________tub10012" localSheetId="7">#REF!</definedName>
    <definedName name="_________tub10012">#REF!</definedName>
    <definedName name="_________tub10015" localSheetId="3">#REF!</definedName>
    <definedName name="_________tub10015" localSheetId="7">#REF!</definedName>
    <definedName name="_________tub10015">#REF!</definedName>
    <definedName name="_________tub10020" localSheetId="3">#REF!</definedName>
    <definedName name="_________tub10020" localSheetId="7">#REF!</definedName>
    <definedName name="_________tub10020">#REF!</definedName>
    <definedName name="_________tub15012" localSheetId="3">#REF!</definedName>
    <definedName name="_________tub15012" localSheetId="7">#REF!</definedName>
    <definedName name="_________tub15012">#REF!</definedName>
    <definedName name="_________tub4012" localSheetId="3">#REF!</definedName>
    <definedName name="_________tub4012" localSheetId="7">#REF!</definedName>
    <definedName name="_________tub4012">#REF!</definedName>
    <definedName name="_________tub4015" localSheetId="3">#REF!</definedName>
    <definedName name="_________tub4015" localSheetId="7">#REF!</definedName>
    <definedName name="_________tub4015">#REF!</definedName>
    <definedName name="_________tub4020" localSheetId="3">#REF!</definedName>
    <definedName name="_________tub4020" localSheetId="7">#REF!</definedName>
    <definedName name="_________tub4020">#REF!</definedName>
    <definedName name="_________tub5012" localSheetId="3">#REF!</definedName>
    <definedName name="_________tub5012" localSheetId="7">#REF!</definedName>
    <definedName name="_________tub5012">#REF!</definedName>
    <definedName name="_________tub5015" localSheetId="3">#REF!</definedName>
    <definedName name="_________tub5015" localSheetId="7">#REF!</definedName>
    <definedName name="_________tub5015">#REF!</definedName>
    <definedName name="_________tub5020" localSheetId="3">#REF!</definedName>
    <definedName name="_________tub5020" localSheetId="7">#REF!</definedName>
    <definedName name="_________tub5020">#REF!</definedName>
    <definedName name="_________tub7512" localSheetId="3">#REF!</definedName>
    <definedName name="_________tub7512" localSheetId="7">#REF!</definedName>
    <definedName name="_________tub7512">#REF!</definedName>
    <definedName name="_________tub7515" localSheetId="3">#REF!</definedName>
    <definedName name="_________tub7515" localSheetId="7">#REF!</definedName>
    <definedName name="_________tub7515">#REF!</definedName>
    <definedName name="_________tub7520" localSheetId="3">#REF!</definedName>
    <definedName name="_________tub7520" localSheetId="7">#REF!</definedName>
    <definedName name="_________tub7520">#REF!</definedName>
    <definedName name="________aga14" localSheetId="3">#REF!</definedName>
    <definedName name="________aga14" localSheetId="7">#REF!</definedName>
    <definedName name="________aga14">#REF!</definedName>
    <definedName name="________aga16" localSheetId="3">#REF!</definedName>
    <definedName name="________aga16" localSheetId="7">#REF!</definedName>
    <definedName name="________aga16">#REF!</definedName>
    <definedName name="________asc321" localSheetId="3">#REF!</definedName>
    <definedName name="________asc321" localSheetId="7">#REF!</definedName>
    <definedName name="________asc321">#REF!</definedName>
    <definedName name="________bur3220" localSheetId="3">#REF!</definedName>
    <definedName name="________bur3220" localSheetId="7">#REF!</definedName>
    <definedName name="________bur3220">#REF!</definedName>
    <definedName name="________C930I" localSheetId="3">#REF!</definedName>
    <definedName name="________C930I" localSheetId="7">#REF!</definedName>
    <definedName name="________C930I">#REF!</definedName>
    <definedName name="________C930P" localSheetId="3">#REF!</definedName>
    <definedName name="________C930P" localSheetId="7">#REF!</definedName>
    <definedName name="________C930P">#REF!</definedName>
    <definedName name="________C966I" localSheetId="3">#REF!</definedName>
    <definedName name="________C966I" localSheetId="7">#REF!</definedName>
    <definedName name="________C966I">#REF!</definedName>
    <definedName name="________C966P" localSheetId="3">#REF!</definedName>
    <definedName name="________C966P" localSheetId="7">#REF!</definedName>
    <definedName name="________C966P">#REF!</definedName>
    <definedName name="________C996P" localSheetId="3">#REF!</definedName>
    <definedName name="________C996P" localSheetId="7">#REF!</definedName>
    <definedName name="________C996P">#REF!</definedName>
    <definedName name="________cap20" localSheetId="3">#REF!</definedName>
    <definedName name="________cap20" localSheetId="7">#REF!</definedName>
    <definedName name="________cap20">#REF!</definedName>
    <definedName name="________ccr12" localSheetId="3">#REF!</definedName>
    <definedName name="________ccr12" localSheetId="7">#REF!</definedName>
    <definedName name="________ccr12">#REF!</definedName>
    <definedName name="________cva32" localSheetId="3">#REF!</definedName>
    <definedName name="________cva32" localSheetId="7">#REF!</definedName>
    <definedName name="________cva32">#REF!</definedName>
    <definedName name="________cva50" localSheetId="3">#REF!</definedName>
    <definedName name="________cva50" localSheetId="7">#REF!</definedName>
    <definedName name="________cva50">#REF!</definedName>
    <definedName name="________cva60" localSheetId="3">#REF!</definedName>
    <definedName name="________cva60" localSheetId="7">#REF!</definedName>
    <definedName name="________cva60">#REF!</definedName>
    <definedName name="________cve45100" localSheetId="3">#REF!</definedName>
    <definedName name="________cve45100" localSheetId="7">#REF!</definedName>
    <definedName name="________cve45100">#REF!</definedName>
    <definedName name="________cve90100" localSheetId="3">#REF!</definedName>
    <definedName name="________cve90100" localSheetId="7">#REF!</definedName>
    <definedName name="________cve90100">#REF!</definedName>
    <definedName name="________cve9040" localSheetId="3">#REF!</definedName>
    <definedName name="________cve9040" localSheetId="7">#REF!</definedName>
    <definedName name="________cve9040">#REF!</definedName>
    <definedName name="________djm10" localSheetId="3">#REF!</definedName>
    <definedName name="________djm10" localSheetId="7">#REF!</definedName>
    <definedName name="________djm10">#REF!</definedName>
    <definedName name="________djm15" localSheetId="3">#REF!</definedName>
    <definedName name="________djm15" localSheetId="7">#REF!</definedName>
    <definedName name="________djm15">#REF!</definedName>
    <definedName name="________epl2" localSheetId="3">#REF!</definedName>
    <definedName name="________epl2" localSheetId="7">#REF!</definedName>
    <definedName name="________epl2">#REF!</definedName>
    <definedName name="________epl5" localSheetId="3">#REF!</definedName>
    <definedName name="________epl5" localSheetId="7">#REF!</definedName>
    <definedName name="________epl5">#REF!</definedName>
    <definedName name="________est15" localSheetId="3">#REF!</definedName>
    <definedName name="________est15" localSheetId="7">#REF!</definedName>
    <definedName name="________est15">#REF!</definedName>
    <definedName name="________fil1" localSheetId="3">#REF!</definedName>
    <definedName name="________fil1" localSheetId="7">#REF!</definedName>
    <definedName name="________fil1">#REF!</definedName>
    <definedName name="________fil2" localSheetId="3">#REF!</definedName>
    <definedName name="________fil2" localSheetId="7">#REF!</definedName>
    <definedName name="________fil2">#REF!</definedName>
    <definedName name="________fio12" localSheetId="3">#REF!</definedName>
    <definedName name="________fio12" localSheetId="7">#REF!</definedName>
    <definedName name="________fio12">#REF!</definedName>
    <definedName name="________fis5" localSheetId="3">#REF!</definedName>
    <definedName name="________fis5" localSheetId="7">#REF!</definedName>
    <definedName name="________fis5">#REF!</definedName>
    <definedName name="________flf50" localSheetId="3">#REF!</definedName>
    <definedName name="________flf50" localSheetId="7">#REF!</definedName>
    <definedName name="________flf50">#REF!</definedName>
    <definedName name="________flf60" localSheetId="3">#REF!</definedName>
    <definedName name="________flf60" localSheetId="7">#REF!</definedName>
    <definedName name="________flf60">#REF!</definedName>
    <definedName name="________fpd12" localSheetId="3">#REF!</definedName>
    <definedName name="________fpd12" localSheetId="7">#REF!</definedName>
    <definedName name="________fpd12">#REF!</definedName>
    <definedName name="________fvr10" localSheetId="3">#REF!</definedName>
    <definedName name="________fvr10" localSheetId="7">#REF!</definedName>
    <definedName name="________fvr10">#REF!</definedName>
    <definedName name="________itu1" localSheetId="3">#REF!</definedName>
    <definedName name="________itu1" localSheetId="7">#REF!</definedName>
    <definedName name="________itu1">#REF!</definedName>
    <definedName name="________jla20" localSheetId="3">#REF!</definedName>
    <definedName name="________jla20" localSheetId="7">#REF!</definedName>
    <definedName name="________jla20">#REF!</definedName>
    <definedName name="________jla32" localSheetId="3">#REF!</definedName>
    <definedName name="________jla32" localSheetId="7">#REF!</definedName>
    <definedName name="________jla32">#REF!</definedName>
    <definedName name="________lpi100" localSheetId="3">#REF!</definedName>
    <definedName name="________lpi100" localSheetId="7">#REF!</definedName>
    <definedName name="________lpi100">#REF!</definedName>
    <definedName name="________lvg10060" localSheetId="3">#REF!</definedName>
    <definedName name="________lvg10060" localSheetId="7">#REF!</definedName>
    <definedName name="________lvg10060">#REF!</definedName>
    <definedName name="________lvp32" localSheetId="3">#REF!</definedName>
    <definedName name="________lvp32" localSheetId="7">#REF!</definedName>
    <definedName name="________lvp32">#REF!</definedName>
    <definedName name="________lxa1" localSheetId="3">#REF!</definedName>
    <definedName name="________lxa1" localSheetId="7">#REF!</definedName>
    <definedName name="________lxa1">#REF!</definedName>
    <definedName name="________man50" localSheetId="3">#REF!</definedName>
    <definedName name="________man50" localSheetId="7">#REF!</definedName>
    <definedName name="________man50">#REF!</definedName>
    <definedName name="________ope1" localSheetId="3">#REF!</definedName>
    <definedName name="________ope1" localSheetId="7">#REF!</definedName>
    <definedName name="________ope1">#REF!</definedName>
    <definedName name="________ope2" localSheetId="3">#REF!</definedName>
    <definedName name="________ope2" localSheetId="7">#REF!</definedName>
    <definedName name="________ope2">#REF!</definedName>
    <definedName name="________ope3" localSheetId="3">#REF!</definedName>
    <definedName name="________ope3" localSheetId="7">#REF!</definedName>
    <definedName name="________ope3">#REF!</definedName>
    <definedName name="________pne1" localSheetId="3">#REF!</definedName>
    <definedName name="________pne1" localSheetId="7">#REF!</definedName>
    <definedName name="________pne1">#REF!</definedName>
    <definedName name="________pne2" localSheetId="3">#REF!</definedName>
    <definedName name="________pne2" localSheetId="7">#REF!</definedName>
    <definedName name="________pne2">#REF!</definedName>
    <definedName name="________prg1515" localSheetId="3">#REF!</definedName>
    <definedName name="________prg1515" localSheetId="7">#REF!</definedName>
    <definedName name="________prg1515">#REF!</definedName>
    <definedName name="________prg1827" localSheetId="3">#REF!</definedName>
    <definedName name="________prg1827" localSheetId="7">#REF!</definedName>
    <definedName name="________prg1827">#REF!</definedName>
    <definedName name="________ptc7" localSheetId="3">#REF!</definedName>
    <definedName name="________ptc7" localSheetId="7">#REF!</definedName>
    <definedName name="________ptc7">#REF!</definedName>
    <definedName name="________ptm6" localSheetId="3">#REF!</definedName>
    <definedName name="________ptm6" localSheetId="7">#REF!</definedName>
    <definedName name="________ptm6">#REF!</definedName>
    <definedName name="________qdm3" localSheetId="3">#REF!</definedName>
    <definedName name="________qdm3" localSheetId="7">#REF!</definedName>
    <definedName name="________qdm3">#REF!</definedName>
    <definedName name="________rcm10" localSheetId="3">#REF!</definedName>
    <definedName name="________rcm10" localSheetId="7">#REF!</definedName>
    <definedName name="________rcm10">#REF!</definedName>
    <definedName name="________rcm15" localSheetId="3">#REF!</definedName>
    <definedName name="________rcm15" localSheetId="7">#REF!</definedName>
    <definedName name="________rcm15">#REF!</definedName>
    <definedName name="________rcm20" localSheetId="3">#REF!</definedName>
    <definedName name="________rcm20" localSheetId="7">#REF!</definedName>
    <definedName name="________rcm20">#REF!</definedName>
    <definedName name="________rcm5" localSheetId="3">#REF!</definedName>
    <definedName name="________rcm5" localSheetId="7">#REF!</definedName>
    <definedName name="________rcm5">#REF!</definedName>
    <definedName name="________res10" localSheetId="3">#REF!</definedName>
    <definedName name="________res10" localSheetId="7">#REF!</definedName>
    <definedName name="________res10">#REF!</definedName>
    <definedName name="________res15" localSheetId="3">#REF!</definedName>
    <definedName name="________res15" localSheetId="7">#REF!</definedName>
    <definedName name="________res15">#REF!</definedName>
    <definedName name="________res5" localSheetId="3">#REF!</definedName>
    <definedName name="________res5" localSheetId="7">#REF!</definedName>
    <definedName name="________res5">#REF!</definedName>
    <definedName name="________rge32" localSheetId="3">#REF!</definedName>
    <definedName name="________rge32" localSheetId="7">#REF!</definedName>
    <definedName name="________rge32">#REF!</definedName>
    <definedName name="________rgf60" localSheetId="3">#REF!</definedName>
    <definedName name="________rgf60" localSheetId="7">#REF!</definedName>
    <definedName name="________rgf60">#REF!</definedName>
    <definedName name="________rgp1" localSheetId="3">#REF!</definedName>
    <definedName name="________rgp1" localSheetId="7">#REF!</definedName>
    <definedName name="________rgp1">#REF!</definedName>
    <definedName name="________tap100" localSheetId="3">#REF!</definedName>
    <definedName name="________tap100" localSheetId="7">#REF!</definedName>
    <definedName name="________tap100">#REF!</definedName>
    <definedName name="________tb112" localSheetId="3">#REF!</definedName>
    <definedName name="________tb112" localSheetId="7">#REF!</definedName>
    <definedName name="________tb112">#REF!</definedName>
    <definedName name="________tb16" localSheetId="3">#REF!</definedName>
    <definedName name="________tb16" localSheetId="7">#REF!</definedName>
    <definedName name="________tb16">#REF!</definedName>
    <definedName name="________tb19" localSheetId="3">#REF!</definedName>
    <definedName name="________tb19" localSheetId="7">#REF!</definedName>
    <definedName name="________tb19">#REF!</definedName>
    <definedName name="________tba20" localSheetId="3">#REF!</definedName>
    <definedName name="________tba20" localSheetId="7">#REF!</definedName>
    <definedName name="________tba20">#REF!</definedName>
    <definedName name="________tba32" localSheetId="3">#REF!</definedName>
    <definedName name="________tba32" localSheetId="7">#REF!</definedName>
    <definedName name="________tba32">#REF!</definedName>
    <definedName name="________tba50" localSheetId="3">#REF!</definedName>
    <definedName name="________tba50" localSheetId="7">#REF!</definedName>
    <definedName name="________tba50">#REF!</definedName>
    <definedName name="________tba60" localSheetId="3">#REF!</definedName>
    <definedName name="________tba60" localSheetId="7">#REF!</definedName>
    <definedName name="________tba60">#REF!</definedName>
    <definedName name="________tbe100" localSheetId="3">#REF!</definedName>
    <definedName name="________tbe100" localSheetId="7">#REF!</definedName>
    <definedName name="________tbe100">#REF!</definedName>
    <definedName name="________tbe40" localSheetId="3">#REF!</definedName>
    <definedName name="________tbe40" localSheetId="7">#REF!</definedName>
    <definedName name="________tbe40">#REF!</definedName>
    <definedName name="________tbe50" localSheetId="3">#REF!</definedName>
    <definedName name="________tbe50" localSheetId="7">#REF!</definedName>
    <definedName name="________tbe50">#REF!</definedName>
    <definedName name="________tca80" localSheetId="3">#REF!</definedName>
    <definedName name="________tca80" localSheetId="7">#REF!</definedName>
    <definedName name="________tca80">#REF!</definedName>
    <definedName name="________tea32" localSheetId="3">#REF!</definedName>
    <definedName name="________tea32" localSheetId="7">#REF!</definedName>
    <definedName name="________tea32">#REF!</definedName>
    <definedName name="________tea4560" localSheetId="3">#REF!</definedName>
    <definedName name="________tea4560" localSheetId="7">#REF!</definedName>
    <definedName name="________tea4560">#REF!</definedName>
    <definedName name="________tee100" localSheetId="3">#REF!</definedName>
    <definedName name="________tee100" localSheetId="7">#REF!</definedName>
    <definedName name="________tee100">#REF!</definedName>
    <definedName name="________ter10050" localSheetId="3">#REF!</definedName>
    <definedName name="________ter10050" localSheetId="7">#REF!</definedName>
    <definedName name="________ter10050">#REF!</definedName>
    <definedName name="________tfg50" localSheetId="3">#REF!</definedName>
    <definedName name="________tfg50" localSheetId="7">#REF!</definedName>
    <definedName name="________tfg50">#REF!</definedName>
    <definedName name="________tlf6" localSheetId="3">#REF!</definedName>
    <definedName name="________tlf6" localSheetId="7">#REF!</definedName>
    <definedName name="________tlf6">#REF!</definedName>
    <definedName name="________tub10012" localSheetId="3">#REF!</definedName>
    <definedName name="________tub10012" localSheetId="7">#REF!</definedName>
    <definedName name="________tub10012">#REF!</definedName>
    <definedName name="________tub10015" localSheetId="3">#REF!</definedName>
    <definedName name="________tub10015" localSheetId="7">#REF!</definedName>
    <definedName name="________tub10015">#REF!</definedName>
    <definedName name="________tub10020" localSheetId="3">#REF!</definedName>
    <definedName name="________tub10020" localSheetId="7">#REF!</definedName>
    <definedName name="________tub10020">#REF!</definedName>
    <definedName name="________tub15012" localSheetId="3">#REF!</definedName>
    <definedName name="________tub15012" localSheetId="7">#REF!</definedName>
    <definedName name="________tub15012">#REF!</definedName>
    <definedName name="________tub4012" localSheetId="3">#REF!</definedName>
    <definedName name="________tub4012" localSheetId="7">#REF!</definedName>
    <definedName name="________tub4012">#REF!</definedName>
    <definedName name="________tub4015" localSheetId="3">#REF!</definedName>
    <definedName name="________tub4015" localSheetId="7">#REF!</definedName>
    <definedName name="________tub4015">#REF!</definedName>
    <definedName name="________tub4020" localSheetId="3">#REF!</definedName>
    <definedName name="________tub4020" localSheetId="7">#REF!</definedName>
    <definedName name="________tub4020">#REF!</definedName>
    <definedName name="________tub5012" localSheetId="3">#REF!</definedName>
    <definedName name="________tub5012" localSheetId="7">#REF!</definedName>
    <definedName name="________tub5012">#REF!</definedName>
    <definedName name="________tub5015" localSheetId="3">#REF!</definedName>
    <definedName name="________tub5015" localSheetId="7">#REF!</definedName>
    <definedName name="________tub5015">#REF!</definedName>
    <definedName name="________tub5020" localSheetId="3">#REF!</definedName>
    <definedName name="________tub5020" localSheetId="7">#REF!</definedName>
    <definedName name="________tub5020">#REF!</definedName>
    <definedName name="________tub7512" localSheetId="3">#REF!</definedName>
    <definedName name="________tub7512" localSheetId="7">#REF!</definedName>
    <definedName name="________tub7512">#REF!</definedName>
    <definedName name="________tub7515" localSheetId="3">#REF!</definedName>
    <definedName name="________tub7515" localSheetId="7">#REF!</definedName>
    <definedName name="________tub7515">#REF!</definedName>
    <definedName name="________tub7520" localSheetId="3">#REF!</definedName>
    <definedName name="________tub7520" localSheetId="7">#REF!</definedName>
    <definedName name="________tub7520">#REF!</definedName>
    <definedName name="_______aga14" localSheetId="3">#REF!</definedName>
    <definedName name="_______aga14" localSheetId="7">#REF!</definedName>
    <definedName name="_______aga14">#REF!</definedName>
    <definedName name="_______aga16" localSheetId="3">#REF!</definedName>
    <definedName name="_______aga16" localSheetId="7">#REF!</definedName>
    <definedName name="_______aga16">#REF!</definedName>
    <definedName name="_______asc321" localSheetId="3">#REF!</definedName>
    <definedName name="_______asc321" localSheetId="7">#REF!</definedName>
    <definedName name="_______asc321">#REF!</definedName>
    <definedName name="_______bur3220" localSheetId="3">#REF!</definedName>
    <definedName name="_______bur3220" localSheetId="7">#REF!</definedName>
    <definedName name="_______bur3220">#REF!</definedName>
    <definedName name="_______C930I" localSheetId="3">#REF!</definedName>
    <definedName name="_______C930I" localSheetId="7">#REF!</definedName>
    <definedName name="_______C930I">#REF!</definedName>
    <definedName name="_______C930P" localSheetId="3">#REF!</definedName>
    <definedName name="_______C930P" localSheetId="7">#REF!</definedName>
    <definedName name="_______C930P">#REF!</definedName>
    <definedName name="_______C966I" localSheetId="3">#REF!</definedName>
    <definedName name="_______C966I" localSheetId="7">#REF!</definedName>
    <definedName name="_______C966I">#REF!</definedName>
    <definedName name="_______C966P" localSheetId="3">#REF!</definedName>
    <definedName name="_______C966P" localSheetId="7">#REF!</definedName>
    <definedName name="_______C966P">#REF!</definedName>
    <definedName name="_______C996P" localSheetId="3">#REF!</definedName>
    <definedName name="_______C996P" localSheetId="7">#REF!</definedName>
    <definedName name="_______C996P">#REF!</definedName>
    <definedName name="_______cap20" localSheetId="3">#REF!</definedName>
    <definedName name="_______cap20" localSheetId="7">#REF!</definedName>
    <definedName name="_______cap20">#REF!</definedName>
    <definedName name="_______ccr12" localSheetId="3">#REF!</definedName>
    <definedName name="_______ccr12" localSheetId="7">#REF!</definedName>
    <definedName name="_______ccr12">#REF!</definedName>
    <definedName name="_______cva32" localSheetId="3">#REF!</definedName>
    <definedName name="_______cva32" localSheetId="7">#REF!</definedName>
    <definedName name="_______cva32">#REF!</definedName>
    <definedName name="_______cva50" localSheetId="3">#REF!</definedName>
    <definedName name="_______cva50" localSheetId="7">#REF!</definedName>
    <definedName name="_______cva50">#REF!</definedName>
    <definedName name="_______cva60" localSheetId="3">#REF!</definedName>
    <definedName name="_______cva60" localSheetId="7">#REF!</definedName>
    <definedName name="_______cva60">#REF!</definedName>
    <definedName name="_______cve45100" localSheetId="3">#REF!</definedName>
    <definedName name="_______cve45100" localSheetId="7">#REF!</definedName>
    <definedName name="_______cve45100">#REF!</definedName>
    <definedName name="_______cve90100" localSheetId="3">#REF!</definedName>
    <definedName name="_______cve90100" localSheetId="7">#REF!</definedName>
    <definedName name="_______cve90100">#REF!</definedName>
    <definedName name="_______cve9040" localSheetId="3">#REF!</definedName>
    <definedName name="_______cve9040" localSheetId="7">#REF!</definedName>
    <definedName name="_______cve9040">#REF!</definedName>
    <definedName name="_______djm10" localSheetId="3">#REF!</definedName>
    <definedName name="_______djm10" localSheetId="7">#REF!</definedName>
    <definedName name="_______djm10">#REF!</definedName>
    <definedName name="_______djm15" localSheetId="3">#REF!</definedName>
    <definedName name="_______djm15" localSheetId="7">#REF!</definedName>
    <definedName name="_______djm15">#REF!</definedName>
    <definedName name="_______epl2" localSheetId="3">#REF!</definedName>
    <definedName name="_______epl2" localSheetId="7">#REF!</definedName>
    <definedName name="_______epl2">#REF!</definedName>
    <definedName name="_______epl5" localSheetId="3">#REF!</definedName>
    <definedName name="_______epl5" localSheetId="7">#REF!</definedName>
    <definedName name="_______epl5">#REF!</definedName>
    <definedName name="_______est15" localSheetId="3">#REF!</definedName>
    <definedName name="_______est15" localSheetId="7">#REF!</definedName>
    <definedName name="_______est15">#REF!</definedName>
    <definedName name="_______fil1" localSheetId="3">#REF!</definedName>
    <definedName name="_______fil1" localSheetId="7">#REF!</definedName>
    <definedName name="_______fil1">#REF!</definedName>
    <definedName name="_______fil2" localSheetId="3">#REF!</definedName>
    <definedName name="_______fil2" localSheetId="7">#REF!</definedName>
    <definedName name="_______fil2">#REF!</definedName>
    <definedName name="_______fio12" localSheetId="3">#REF!</definedName>
    <definedName name="_______fio12" localSheetId="7">#REF!</definedName>
    <definedName name="_______fio12">#REF!</definedName>
    <definedName name="_______fis5" localSheetId="3">#REF!</definedName>
    <definedName name="_______fis5" localSheetId="7">#REF!</definedName>
    <definedName name="_______fis5">#REF!</definedName>
    <definedName name="_______flf50" localSheetId="3">#REF!</definedName>
    <definedName name="_______flf50" localSheetId="7">#REF!</definedName>
    <definedName name="_______flf50">#REF!</definedName>
    <definedName name="_______flf60" localSheetId="3">#REF!</definedName>
    <definedName name="_______flf60" localSheetId="7">#REF!</definedName>
    <definedName name="_______flf60">#REF!</definedName>
    <definedName name="_______fpd12" localSheetId="3">#REF!</definedName>
    <definedName name="_______fpd12" localSheetId="7">#REF!</definedName>
    <definedName name="_______fpd12">#REF!</definedName>
    <definedName name="_______fvr10" localSheetId="3">#REF!</definedName>
    <definedName name="_______fvr10" localSheetId="7">#REF!</definedName>
    <definedName name="_______fvr10">#REF!</definedName>
    <definedName name="_______itu1" localSheetId="3">#REF!</definedName>
    <definedName name="_______itu1" localSheetId="7">#REF!</definedName>
    <definedName name="_______itu1">#REF!</definedName>
    <definedName name="_______jla20" localSheetId="3">#REF!</definedName>
    <definedName name="_______jla20" localSheetId="7">#REF!</definedName>
    <definedName name="_______jla20">#REF!</definedName>
    <definedName name="_______jla32" localSheetId="3">#REF!</definedName>
    <definedName name="_______jla32" localSheetId="7">#REF!</definedName>
    <definedName name="_______jla32">#REF!</definedName>
    <definedName name="_______lpi100" localSheetId="3">#REF!</definedName>
    <definedName name="_______lpi100" localSheetId="7">#REF!</definedName>
    <definedName name="_______lpi100">#REF!</definedName>
    <definedName name="_______lvg10060" localSheetId="3">#REF!</definedName>
    <definedName name="_______lvg10060" localSheetId="7">#REF!</definedName>
    <definedName name="_______lvg10060">#REF!</definedName>
    <definedName name="_______lvp32" localSheetId="3">#REF!</definedName>
    <definedName name="_______lvp32" localSheetId="7">#REF!</definedName>
    <definedName name="_______lvp32">#REF!</definedName>
    <definedName name="_______lxa1" localSheetId="3">#REF!</definedName>
    <definedName name="_______lxa1" localSheetId="7">#REF!</definedName>
    <definedName name="_______lxa1">#REF!</definedName>
    <definedName name="_______man50" localSheetId="3">#REF!</definedName>
    <definedName name="_______man50" localSheetId="7">#REF!</definedName>
    <definedName name="_______man50">#REF!</definedName>
    <definedName name="_______ope1" localSheetId="3">#REF!</definedName>
    <definedName name="_______ope1" localSheetId="7">#REF!</definedName>
    <definedName name="_______ope1">#REF!</definedName>
    <definedName name="_______ope2" localSheetId="3">#REF!</definedName>
    <definedName name="_______ope2" localSheetId="7">#REF!</definedName>
    <definedName name="_______ope2">#REF!</definedName>
    <definedName name="_______ope3" localSheetId="3">#REF!</definedName>
    <definedName name="_______ope3" localSheetId="7">#REF!</definedName>
    <definedName name="_______ope3">#REF!</definedName>
    <definedName name="_______pne1" localSheetId="3">#REF!</definedName>
    <definedName name="_______pne1" localSheetId="7">#REF!</definedName>
    <definedName name="_______pne1">#REF!</definedName>
    <definedName name="_______pne2" localSheetId="3">#REF!</definedName>
    <definedName name="_______pne2" localSheetId="7">#REF!</definedName>
    <definedName name="_______pne2">#REF!</definedName>
    <definedName name="_______prg1515" localSheetId="3">#REF!</definedName>
    <definedName name="_______prg1515" localSheetId="7">#REF!</definedName>
    <definedName name="_______prg1515">#REF!</definedName>
    <definedName name="_______prg1827" localSheetId="3">#REF!</definedName>
    <definedName name="_______prg1827" localSheetId="7">#REF!</definedName>
    <definedName name="_______prg1827">#REF!</definedName>
    <definedName name="_______ptc7" localSheetId="3">#REF!</definedName>
    <definedName name="_______ptc7" localSheetId="7">#REF!</definedName>
    <definedName name="_______ptc7">#REF!</definedName>
    <definedName name="_______ptm6" localSheetId="3">#REF!</definedName>
    <definedName name="_______ptm6" localSheetId="7">#REF!</definedName>
    <definedName name="_______ptm6">#REF!</definedName>
    <definedName name="_______qdm3" localSheetId="3">#REF!</definedName>
    <definedName name="_______qdm3" localSheetId="7">#REF!</definedName>
    <definedName name="_______qdm3">#REF!</definedName>
    <definedName name="_______rcm10" localSheetId="3">#REF!</definedName>
    <definedName name="_______rcm10" localSheetId="7">#REF!</definedName>
    <definedName name="_______rcm10">#REF!</definedName>
    <definedName name="_______rcm15" localSheetId="3">#REF!</definedName>
    <definedName name="_______rcm15" localSheetId="7">#REF!</definedName>
    <definedName name="_______rcm15">#REF!</definedName>
    <definedName name="_______rcm20" localSheetId="3">#REF!</definedName>
    <definedName name="_______rcm20" localSheetId="7">#REF!</definedName>
    <definedName name="_______rcm20">#REF!</definedName>
    <definedName name="_______rcm5" localSheetId="3">#REF!</definedName>
    <definedName name="_______rcm5" localSheetId="7">#REF!</definedName>
    <definedName name="_______rcm5">#REF!</definedName>
    <definedName name="_______res10" localSheetId="3">#REF!</definedName>
    <definedName name="_______res10" localSheetId="7">#REF!</definedName>
    <definedName name="_______res10">#REF!</definedName>
    <definedName name="_______res15" localSheetId="3">#REF!</definedName>
    <definedName name="_______res15" localSheetId="7">#REF!</definedName>
    <definedName name="_______res15">#REF!</definedName>
    <definedName name="_______res5" localSheetId="3">#REF!</definedName>
    <definedName name="_______res5" localSheetId="7">#REF!</definedName>
    <definedName name="_______res5">#REF!</definedName>
    <definedName name="_______rge32" localSheetId="3">#REF!</definedName>
    <definedName name="_______rge32" localSheetId="7">#REF!</definedName>
    <definedName name="_______rge32">#REF!</definedName>
    <definedName name="_______rgf60" localSheetId="3">#REF!</definedName>
    <definedName name="_______rgf60" localSheetId="7">#REF!</definedName>
    <definedName name="_______rgf60">#REF!</definedName>
    <definedName name="_______rgp1" localSheetId="3">#REF!</definedName>
    <definedName name="_______rgp1" localSheetId="7">#REF!</definedName>
    <definedName name="_______rgp1">#REF!</definedName>
    <definedName name="_______tap100" localSheetId="3">#REF!</definedName>
    <definedName name="_______tap100" localSheetId="7">#REF!</definedName>
    <definedName name="_______tap100">#REF!</definedName>
    <definedName name="_______tb112" localSheetId="3">#REF!</definedName>
    <definedName name="_______tb112" localSheetId="7">#REF!</definedName>
    <definedName name="_______tb112">#REF!</definedName>
    <definedName name="_______tb16" localSheetId="3">#REF!</definedName>
    <definedName name="_______tb16" localSheetId="7">#REF!</definedName>
    <definedName name="_______tb16">#REF!</definedName>
    <definedName name="_______tb19" localSheetId="3">#REF!</definedName>
    <definedName name="_______tb19" localSheetId="7">#REF!</definedName>
    <definedName name="_______tb19">#REF!</definedName>
    <definedName name="_______tba20" localSheetId="3">#REF!</definedName>
    <definedName name="_______tba20" localSheetId="7">#REF!</definedName>
    <definedName name="_______tba20">#REF!</definedName>
    <definedName name="_______tba32" localSheetId="3">#REF!</definedName>
    <definedName name="_______tba32" localSheetId="7">#REF!</definedName>
    <definedName name="_______tba32">#REF!</definedName>
    <definedName name="_______tba50" localSheetId="3">#REF!</definedName>
    <definedName name="_______tba50" localSheetId="7">#REF!</definedName>
    <definedName name="_______tba50">#REF!</definedName>
    <definedName name="_______tba60" localSheetId="3">#REF!</definedName>
    <definedName name="_______tba60" localSheetId="7">#REF!</definedName>
    <definedName name="_______tba60">#REF!</definedName>
    <definedName name="_______tbe100" localSheetId="3">#REF!</definedName>
    <definedName name="_______tbe100" localSheetId="7">#REF!</definedName>
    <definedName name="_______tbe100">#REF!</definedName>
    <definedName name="_______tbe40" localSheetId="3">#REF!</definedName>
    <definedName name="_______tbe40" localSheetId="7">#REF!</definedName>
    <definedName name="_______tbe40">#REF!</definedName>
    <definedName name="_______tbe50" localSheetId="3">#REF!</definedName>
    <definedName name="_______tbe50" localSheetId="7">#REF!</definedName>
    <definedName name="_______tbe50">#REF!</definedName>
    <definedName name="_______tca80" localSheetId="3">#REF!</definedName>
    <definedName name="_______tca80" localSheetId="7">#REF!</definedName>
    <definedName name="_______tca80">#REF!</definedName>
    <definedName name="_______tea32" localSheetId="3">#REF!</definedName>
    <definedName name="_______tea32" localSheetId="7">#REF!</definedName>
    <definedName name="_______tea32">#REF!</definedName>
    <definedName name="_______tea4560" localSheetId="3">#REF!</definedName>
    <definedName name="_______tea4560" localSheetId="7">#REF!</definedName>
    <definedName name="_______tea4560">#REF!</definedName>
    <definedName name="_______tee100" localSheetId="3">#REF!</definedName>
    <definedName name="_______tee100" localSheetId="7">#REF!</definedName>
    <definedName name="_______tee100">#REF!</definedName>
    <definedName name="_______ter10050" localSheetId="3">#REF!</definedName>
    <definedName name="_______ter10050" localSheetId="7">#REF!</definedName>
    <definedName name="_______ter10050">#REF!</definedName>
    <definedName name="_______tfg50" localSheetId="3">#REF!</definedName>
    <definedName name="_______tfg50" localSheetId="7">#REF!</definedName>
    <definedName name="_______tfg50">#REF!</definedName>
    <definedName name="_______tlf6" localSheetId="3">#REF!</definedName>
    <definedName name="_______tlf6" localSheetId="7">#REF!</definedName>
    <definedName name="_______tlf6">#REF!</definedName>
    <definedName name="_______tub10012" localSheetId="3">#REF!</definedName>
    <definedName name="_______tub10012" localSheetId="7">#REF!</definedName>
    <definedName name="_______tub10012">#REF!</definedName>
    <definedName name="_______tub10015" localSheetId="3">#REF!</definedName>
    <definedName name="_______tub10015" localSheetId="7">#REF!</definedName>
    <definedName name="_______tub10015">#REF!</definedName>
    <definedName name="_______tub10020" localSheetId="3">#REF!</definedName>
    <definedName name="_______tub10020" localSheetId="7">#REF!</definedName>
    <definedName name="_______tub10020">#REF!</definedName>
    <definedName name="_______tub15012" localSheetId="3">#REF!</definedName>
    <definedName name="_______tub15012" localSheetId="7">#REF!</definedName>
    <definedName name="_______tub15012">#REF!</definedName>
    <definedName name="_______tub4012" localSheetId="3">#REF!</definedName>
    <definedName name="_______tub4012" localSheetId="7">#REF!</definedName>
    <definedName name="_______tub4012">#REF!</definedName>
    <definedName name="_______tub4015" localSheetId="3">#REF!</definedName>
    <definedName name="_______tub4015" localSheetId="7">#REF!</definedName>
    <definedName name="_______tub4015">#REF!</definedName>
    <definedName name="_______tub4020" localSheetId="3">#REF!</definedName>
    <definedName name="_______tub4020" localSheetId="7">#REF!</definedName>
    <definedName name="_______tub4020">#REF!</definedName>
    <definedName name="_______tub5012" localSheetId="3">#REF!</definedName>
    <definedName name="_______tub5012" localSheetId="7">#REF!</definedName>
    <definedName name="_______tub5012">#REF!</definedName>
    <definedName name="_______tub5015" localSheetId="3">#REF!</definedName>
    <definedName name="_______tub5015" localSheetId="7">#REF!</definedName>
    <definedName name="_______tub5015">#REF!</definedName>
    <definedName name="_______tub5020" localSheetId="3">#REF!</definedName>
    <definedName name="_______tub5020" localSheetId="7">#REF!</definedName>
    <definedName name="_______tub5020">#REF!</definedName>
    <definedName name="_______tub7512" localSheetId="3">#REF!</definedName>
    <definedName name="_______tub7512" localSheetId="7">#REF!</definedName>
    <definedName name="_______tub7512">#REF!</definedName>
    <definedName name="_______tub7515" localSheetId="3">#REF!</definedName>
    <definedName name="_______tub7515" localSheetId="7">#REF!</definedName>
    <definedName name="_______tub7515">#REF!</definedName>
    <definedName name="_______tub7520" localSheetId="3">#REF!</definedName>
    <definedName name="_______tub7520" localSheetId="7">#REF!</definedName>
    <definedName name="_______tub7520">#REF!</definedName>
    <definedName name="______aga14" localSheetId="3">#REF!</definedName>
    <definedName name="______aga14" localSheetId="7">#REF!</definedName>
    <definedName name="______aga14">#REF!</definedName>
    <definedName name="______aga16" localSheetId="3">#REF!</definedName>
    <definedName name="______aga16" localSheetId="7">#REF!</definedName>
    <definedName name="______aga16">#REF!</definedName>
    <definedName name="______asc321" localSheetId="3">#REF!</definedName>
    <definedName name="______asc321" localSheetId="7">#REF!</definedName>
    <definedName name="______asc321">#REF!</definedName>
    <definedName name="______bur3220" localSheetId="3">#REF!</definedName>
    <definedName name="______bur3220" localSheetId="7">#REF!</definedName>
    <definedName name="______bur3220">#REF!</definedName>
    <definedName name="______C930I" localSheetId="3">#REF!</definedName>
    <definedName name="______C930I" localSheetId="7">#REF!</definedName>
    <definedName name="______C930I">#REF!</definedName>
    <definedName name="______C930P" localSheetId="3">#REF!</definedName>
    <definedName name="______C930P" localSheetId="7">#REF!</definedName>
    <definedName name="______C930P">#REF!</definedName>
    <definedName name="______C966I" localSheetId="3">#REF!</definedName>
    <definedName name="______C966I" localSheetId="7">#REF!</definedName>
    <definedName name="______C966I">#REF!</definedName>
    <definedName name="______C966P" localSheetId="3">#REF!</definedName>
    <definedName name="______C966P" localSheetId="7">#REF!</definedName>
    <definedName name="______C966P">#REF!</definedName>
    <definedName name="______C996P" localSheetId="3">#REF!</definedName>
    <definedName name="______C996P" localSheetId="7">#REF!</definedName>
    <definedName name="______C996P">#REF!</definedName>
    <definedName name="______cap20" localSheetId="3">#REF!</definedName>
    <definedName name="______cap20" localSheetId="7">#REF!</definedName>
    <definedName name="______cap20">#REF!</definedName>
    <definedName name="______ccr12" localSheetId="3">#REF!</definedName>
    <definedName name="______ccr12" localSheetId="7">#REF!</definedName>
    <definedName name="______ccr12">#REF!</definedName>
    <definedName name="______cva32" localSheetId="3">#REF!</definedName>
    <definedName name="______cva32" localSheetId="7">#REF!</definedName>
    <definedName name="______cva32">#REF!</definedName>
    <definedName name="______cva50" localSheetId="3">#REF!</definedName>
    <definedName name="______cva50" localSheetId="7">#REF!</definedName>
    <definedName name="______cva50">#REF!</definedName>
    <definedName name="______cva60" localSheetId="3">#REF!</definedName>
    <definedName name="______cva60" localSheetId="7">#REF!</definedName>
    <definedName name="______cva60">#REF!</definedName>
    <definedName name="______cve45100" localSheetId="3">#REF!</definedName>
    <definedName name="______cve45100" localSheetId="7">#REF!</definedName>
    <definedName name="______cve45100">#REF!</definedName>
    <definedName name="______cve90100" localSheetId="3">#REF!</definedName>
    <definedName name="______cve90100" localSheetId="7">#REF!</definedName>
    <definedName name="______cve90100">#REF!</definedName>
    <definedName name="______cve9040" localSheetId="3">#REF!</definedName>
    <definedName name="______cve9040" localSheetId="7">#REF!</definedName>
    <definedName name="______cve9040">#REF!</definedName>
    <definedName name="______djm10" localSheetId="3">#REF!</definedName>
    <definedName name="______djm10" localSheetId="7">#REF!</definedName>
    <definedName name="______djm10">#REF!</definedName>
    <definedName name="______djm15" localSheetId="3">#REF!</definedName>
    <definedName name="______djm15" localSheetId="7">#REF!</definedName>
    <definedName name="______djm15">#REF!</definedName>
    <definedName name="______epl2" localSheetId="3">#REF!</definedName>
    <definedName name="______epl2" localSheetId="7">#REF!</definedName>
    <definedName name="______epl2">#REF!</definedName>
    <definedName name="______epl5" localSheetId="3">#REF!</definedName>
    <definedName name="______epl5" localSheetId="7">#REF!</definedName>
    <definedName name="______epl5">#REF!</definedName>
    <definedName name="______est15" localSheetId="3">#REF!</definedName>
    <definedName name="______est15" localSheetId="7">#REF!</definedName>
    <definedName name="______est15">#REF!</definedName>
    <definedName name="______fil1" localSheetId="3">#REF!</definedName>
    <definedName name="______fil1" localSheetId="7">#REF!</definedName>
    <definedName name="______fil1">#REF!</definedName>
    <definedName name="______fil2" localSheetId="3">#REF!</definedName>
    <definedName name="______fil2" localSheetId="7">#REF!</definedName>
    <definedName name="______fil2">#REF!</definedName>
    <definedName name="______fio12" localSheetId="3">#REF!</definedName>
    <definedName name="______fio12" localSheetId="7">#REF!</definedName>
    <definedName name="______fio12">#REF!</definedName>
    <definedName name="______fis5" localSheetId="3">#REF!</definedName>
    <definedName name="______fis5" localSheetId="7">#REF!</definedName>
    <definedName name="______fis5">#REF!</definedName>
    <definedName name="______flf50" localSheetId="3">#REF!</definedName>
    <definedName name="______flf50" localSheetId="7">#REF!</definedName>
    <definedName name="______flf50">#REF!</definedName>
    <definedName name="______flf60" localSheetId="3">#REF!</definedName>
    <definedName name="______flf60" localSheetId="7">#REF!</definedName>
    <definedName name="______flf60">#REF!</definedName>
    <definedName name="______fpd12" localSheetId="3">#REF!</definedName>
    <definedName name="______fpd12" localSheetId="7">#REF!</definedName>
    <definedName name="______fpd12">#REF!</definedName>
    <definedName name="______fvr10" localSheetId="3">#REF!</definedName>
    <definedName name="______fvr10" localSheetId="7">#REF!</definedName>
    <definedName name="______fvr10">#REF!</definedName>
    <definedName name="______itu1" localSheetId="3">#REF!</definedName>
    <definedName name="______itu1" localSheetId="7">#REF!</definedName>
    <definedName name="______itu1">#REF!</definedName>
    <definedName name="______jla20" localSheetId="3">#REF!</definedName>
    <definedName name="______jla20" localSheetId="7">#REF!</definedName>
    <definedName name="______jla20">#REF!</definedName>
    <definedName name="______jla32" localSheetId="3">#REF!</definedName>
    <definedName name="______jla32" localSheetId="7">#REF!</definedName>
    <definedName name="______jla32">#REF!</definedName>
    <definedName name="______lpi100" localSheetId="3">#REF!</definedName>
    <definedName name="______lpi100" localSheetId="7">#REF!</definedName>
    <definedName name="______lpi100">#REF!</definedName>
    <definedName name="______lvg10060" localSheetId="3">#REF!</definedName>
    <definedName name="______lvg10060" localSheetId="7">#REF!</definedName>
    <definedName name="______lvg10060">#REF!</definedName>
    <definedName name="______lvp32" localSheetId="3">#REF!</definedName>
    <definedName name="______lvp32" localSheetId="7">#REF!</definedName>
    <definedName name="______lvp32">#REF!</definedName>
    <definedName name="______lxa1" localSheetId="3">#REF!</definedName>
    <definedName name="______lxa1" localSheetId="7">#REF!</definedName>
    <definedName name="______lxa1">#REF!</definedName>
    <definedName name="______man50" localSheetId="3">#REF!</definedName>
    <definedName name="______man50" localSheetId="7">#REF!</definedName>
    <definedName name="______man50">#REF!</definedName>
    <definedName name="______ope1" localSheetId="3">#REF!</definedName>
    <definedName name="______ope1" localSheetId="7">#REF!</definedName>
    <definedName name="______ope1">#REF!</definedName>
    <definedName name="______ope2" localSheetId="3">#REF!</definedName>
    <definedName name="______ope2" localSheetId="7">#REF!</definedName>
    <definedName name="______ope2">#REF!</definedName>
    <definedName name="______ope3" localSheetId="3">#REF!</definedName>
    <definedName name="______ope3" localSheetId="7">#REF!</definedName>
    <definedName name="______ope3">#REF!</definedName>
    <definedName name="______pne1" localSheetId="3">#REF!</definedName>
    <definedName name="______pne1" localSheetId="7">#REF!</definedName>
    <definedName name="______pne1">#REF!</definedName>
    <definedName name="______pne2" localSheetId="3">#REF!</definedName>
    <definedName name="______pne2" localSheetId="7">#REF!</definedName>
    <definedName name="______pne2">#REF!</definedName>
    <definedName name="______prg1515" localSheetId="3">#REF!</definedName>
    <definedName name="______prg1515" localSheetId="7">#REF!</definedName>
    <definedName name="______prg1515">#REF!</definedName>
    <definedName name="______prg1827" localSheetId="3">#REF!</definedName>
    <definedName name="______prg1827" localSheetId="7">#REF!</definedName>
    <definedName name="______prg1827">#REF!</definedName>
    <definedName name="______ptc7" localSheetId="3">#REF!</definedName>
    <definedName name="______ptc7" localSheetId="7">#REF!</definedName>
    <definedName name="______ptc7">#REF!</definedName>
    <definedName name="______ptm6" localSheetId="3">#REF!</definedName>
    <definedName name="______ptm6" localSheetId="7">#REF!</definedName>
    <definedName name="______ptm6">#REF!</definedName>
    <definedName name="______qdm3" localSheetId="3">#REF!</definedName>
    <definedName name="______qdm3" localSheetId="7">#REF!</definedName>
    <definedName name="______qdm3">#REF!</definedName>
    <definedName name="______rcm10" localSheetId="3">#REF!</definedName>
    <definedName name="______rcm10" localSheetId="7">#REF!</definedName>
    <definedName name="______rcm10">#REF!</definedName>
    <definedName name="______rcm15" localSheetId="3">#REF!</definedName>
    <definedName name="______rcm15" localSheetId="7">#REF!</definedName>
    <definedName name="______rcm15">#REF!</definedName>
    <definedName name="______rcm20" localSheetId="3">#REF!</definedName>
    <definedName name="______rcm20" localSheetId="7">#REF!</definedName>
    <definedName name="______rcm20">#REF!</definedName>
    <definedName name="______rcm5" localSheetId="3">#REF!</definedName>
    <definedName name="______rcm5" localSheetId="7">#REF!</definedName>
    <definedName name="______rcm5">#REF!</definedName>
    <definedName name="______res10" localSheetId="3">#REF!</definedName>
    <definedName name="______res10" localSheetId="7">#REF!</definedName>
    <definedName name="______res10">#REF!</definedName>
    <definedName name="______res15" localSheetId="3">#REF!</definedName>
    <definedName name="______res15" localSheetId="7">#REF!</definedName>
    <definedName name="______res15">#REF!</definedName>
    <definedName name="______res5" localSheetId="3">#REF!</definedName>
    <definedName name="______res5" localSheetId="7">#REF!</definedName>
    <definedName name="______res5">#REF!</definedName>
    <definedName name="______rge32" localSheetId="3">#REF!</definedName>
    <definedName name="______rge32" localSheetId="7">#REF!</definedName>
    <definedName name="______rge32">#REF!</definedName>
    <definedName name="______rgf60" localSheetId="3">#REF!</definedName>
    <definedName name="______rgf60" localSheetId="7">#REF!</definedName>
    <definedName name="______rgf60">#REF!</definedName>
    <definedName name="______rgp1" localSheetId="3">#REF!</definedName>
    <definedName name="______rgp1" localSheetId="7">#REF!</definedName>
    <definedName name="______rgp1">#REF!</definedName>
    <definedName name="______tap100" localSheetId="3">#REF!</definedName>
    <definedName name="______tap100" localSheetId="7">#REF!</definedName>
    <definedName name="______tap100">#REF!</definedName>
    <definedName name="______tb112" localSheetId="3">#REF!</definedName>
    <definedName name="______tb112" localSheetId="7">#REF!</definedName>
    <definedName name="______tb112">#REF!</definedName>
    <definedName name="______tb16" localSheetId="3">#REF!</definedName>
    <definedName name="______tb16" localSheetId="7">#REF!</definedName>
    <definedName name="______tb16">#REF!</definedName>
    <definedName name="______tb19" localSheetId="3">#REF!</definedName>
    <definedName name="______tb19" localSheetId="7">#REF!</definedName>
    <definedName name="______tb19">#REF!</definedName>
    <definedName name="______tba20" localSheetId="3">#REF!</definedName>
    <definedName name="______tba20" localSheetId="7">#REF!</definedName>
    <definedName name="______tba20">#REF!</definedName>
    <definedName name="______tba32" localSheetId="3">#REF!</definedName>
    <definedName name="______tba32" localSheetId="7">#REF!</definedName>
    <definedName name="______tba32">#REF!</definedName>
    <definedName name="______tba50" localSheetId="3">#REF!</definedName>
    <definedName name="______tba50" localSheetId="7">#REF!</definedName>
    <definedName name="______tba50">#REF!</definedName>
    <definedName name="______tba60" localSheetId="3">#REF!</definedName>
    <definedName name="______tba60" localSheetId="7">#REF!</definedName>
    <definedName name="______tba60">#REF!</definedName>
    <definedName name="______tbe100" localSheetId="3">#REF!</definedName>
    <definedName name="______tbe100" localSheetId="7">#REF!</definedName>
    <definedName name="______tbe100">#REF!</definedName>
    <definedName name="______tbe40" localSheetId="3">#REF!</definedName>
    <definedName name="______tbe40" localSheetId="7">#REF!</definedName>
    <definedName name="______tbe40">#REF!</definedName>
    <definedName name="______tbe50" localSheetId="3">#REF!</definedName>
    <definedName name="______tbe50" localSheetId="7">#REF!</definedName>
    <definedName name="______tbe50">#REF!</definedName>
    <definedName name="______tca80" localSheetId="3">#REF!</definedName>
    <definedName name="______tca80" localSheetId="7">#REF!</definedName>
    <definedName name="______tca80">#REF!</definedName>
    <definedName name="______tea32" localSheetId="3">#REF!</definedName>
    <definedName name="______tea32" localSheetId="7">#REF!</definedName>
    <definedName name="______tea32">#REF!</definedName>
    <definedName name="______tea4560" localSheetId="3">#REF!</definedName>
    <definedName name="______tea4560" localSheetId="7">#REF!</definedName>
    <definedName name="______tea4560">#REF!</definedName>
    <definedName name="______tee100" localSheetId="3">#REF!</definedName>
    <definedName name="______tee100" localSheetId="7">#REF!</definedName>
    <definedName name="______tee100">#REF!</definedName>
    <definedName name="______ter10050" localSheetId="3">#REF!</definedName>
    <definedName name="______ter10050" localSheetId="7">#REF!</definedName>
    <definedName name="______ter10050">#REF!</definedName>
    <definedName name="______tfg50" localSheetId="3">#REF!</definedName>
    <definedName name="______tfg50" localSheetId="7">#REF!</definedName>
    <definedName name="______tfg50">#REF!</definedName>
    <definedName name="______tlf6" localSheetId="3">#REF!</definedName>
    <definedName name="______tlf6" localSheetId="7">#REF!</definedName>
    <definedName name="______tlf6">#REF!</definedName>
    <definedName name="______tub10012" localSheetId="3">#REF!</definedName>
    <definedName name="______tub10012" localSheetId="7">#REF!</definedName>
    <definedName name="______tub10012">#REF!</definedName>
    <definedName name="______tub10015" localSheetId="3">#REF!</definedName>
    <definedName name="______tub10015" localSheetId="7">#REF!</definedName>
    <definedName name="______tub10015">#REF!</definedName>
    <definedName name="______tub10020" localSheetId="3">#REF!</definedName>
    <definedName name="______tub10020" localSheetId="7">#REF!</definedName>
    <definedName name="______tub10020">#REF!</definedName>
    <definedName name="______tub15012" localSheetId="3">#REF!</definedName>
    <definedName name="______tub15012" localSheetId="7">#REF!</definedName>
    <definedName name="______tub15012">#REF!</definedName>
    <definedName name="______tub4012" localSheetId="3">#REF!</definedName>
    <definedName name="______tub4012" localSheetId="7">#REF!</definedName>
    <definedName name="______tub4012">#REF!</definedName>
    <definedName name="______tub4015" localSheetId="3">#REF!</definedName>
    <definedName name="______tub4015" localSheetId="7">#REF!</definedName>
    <definedName name="______tub4015">#REF!</definedName>
    <definedName name="______tub4020" localSheetId="3">#REF!</definedName>
    <definedName name="______tub4020" localSheetId="7">#REF!</definedName>
    <definedName name="______tub4020">#REF!</definedName>
    <definedName name="______tub5012" localSheetId="3">#REF!</definedName>
    <definedName name="______tub5012" localSheetId="7">#REF!</definedName>
    <definedName name="______tub5012">#REF!</definedName>
    <definedName name="______tub5015" localSheetId="3">#REF!</definedName>
    <definedName name="______tub5015" localSheetId="7">#REF!</definedName>
    <definedName name="______tub5015">#REF!</definedName>
    <definedName name="______tub5020" localSheetId="3">#REF!</definedName>
    <definedName name="______tub5020" localSheetId="7">#REF!</definedName>
    <definedName name="______tub5020">#REF!</definedName>
    <definedName name="______tub7512" localSheetId="3">#REF!</definedName>
    <definedName name="______tub7512" localSheetId="7">#REF!</definedName>
    <definedName name="______tub7512">#REF!</definedName>
    <definedName name="______tub7515" localSheetId="3">#REF!</definedName>
    <definedName name="______tub7515" localSheetId="7">#REF!</definedName>
    <definedName name="______tub7515">#REF!</definedName>
    <definedName name="______tub7520" localSheetId="3">#REF!</definedName>
    <definedName name="______tub7520" localSheetId="7">#REF!</definedName>
    <definedName name="______tub7520">#REF!</definedName>
    <definedName name="_____aga14" localSheetId="3">#REF!</definedName>
    <definedName name="_____aga14" localSheetId="7">#REF!</definedName>
    <definedName name="_____aga14">#REF!</definedName>
    <definedName name="_____aga16" localSheetId="3">#REF!</definedName>
    <definedName name="_____aga16" localSheetId="7">#REF!</definedName>
    <definedName name="_____aga16">#REF!</definedName>
    <definedName name="_____asc321" localSheetId="3">#REF!</definedName>
    <definedName name="_____asc321" localSheetId="7">#REF!</definedName>
    <definedName name="_____asc321">#REF!</definedName>
    <definedName name="_____bur3220" localSheetId="3">#REF!</definedName>
    <definedName name="_____bur3220" localSheetId="7">#REF!</definedName>
    <definedName name="_____bur3220">#REF!</definedName>
    <definedName name="_____C930I" localSheetId="3">#REF!</definedName>
    <definedName name="_____C930I" localSheetId="7">#REF!</definedName>
    <definedName name="_____C930I">#REF!</definedName>
    <definedName name="_____C930P" localSheetId="3">#REF!</definedName>
    <definedName name="_____C930P" localSheetId="7">#REF!</definedName>
    <definedName name="_____C930P">#REF!</definedName>
    <definedName name="_____C966I" localSheetId="3">#REF!</definedName>
    <definedName name="_____C966I" localSheetId="7">#REF!</definedName>
    <definedName name="_____C966I">#REF!</definedName>
    <definedName name="_____C966P" localSheetId="3">#REF!</definedName>
    <definedName name="_____C966P" localSheetId="7">#REF!</definedName>
    <definedName name="_____C966P">#REF!</definedName>
    <definedName name="_____C996P" localSheetId="3">#REF!</definedName>
    <definedName name="_____C996P" localSheetId="7">#REF!</definedName>
    <definedName name="_____C996P">#REF!</definedName>
    <definedName name="_____cap20" localSheetId="3">#REF!</definedName>
    <definedName name="_____cap20" localSheetId="7">#REF!</definedName>
    <definedName name="_____cap20">#REF!</definedName>
    <definedName name="_____ccr12" localSheetId="3">#REF!</definedName>
    <definedName name="_____ccr12" localSheetId="7">#REF!</definedName>
    <definedName name="_____ccr12">#REF!</definedName>
    <definedName name="_____cva32" localSheetId="3">#REF!</definedName>
    <definedName name="_____cva32" localSheetId="7">#REF!</definedName>
    <definedName name="_____cva32">#REF!</definedName>
    <definedName name="_____cva50" localSheetId="3">#REF!</definedName>
    <definedName name="_____cva50" localSheetId="7">#REF!</definedName>
    <definedName name="_____cva50">#REF!</definedName>
    <definedName name="_____cva60" localSheetId="3">#REF!</definedName>
    <definedName name="_____cva60" localSheetId="7">#REF!</definedName>
    <definedName name="_____cva60">#REF!</definedName>
    <definedName name="_____cve45100" localSheetId="3">#REF!</definedName>
    <definedName name="_____cve45100" localSheetId="7">#REF!</definedName>
    <definedName name="_____cve45100">#REF!</definedName>
    <definedName name="_____cve90100" localSheetId="3">#REF!</definedName>
    <definedName name="_____cve90100" localSheetId="7">#REF!</definedName>
    <definedName name="_____cve90100">#REF!</definedName>
    <definedName name="_____cve9040" localSheetId="3">#REF!</definedName>
    <definedName name="_____cve9040" localSheetId="7">#REF!</definedName>
    <definedName name="_____cve9040">#REF!</definedName>
    <definedName name="_____djm10" localSheetId="3">#REF!</definedName>
    <definedName name="_____djm10" localSheetId="7">#REF!</definedName>
    <definedName name="_____djm10">#REF!</definedName>
    <definedName name="_____djm15" localSheetId="3">#REF!</definedName>
    <definedName name="_____djm15" localSheetId="7">#REF!</definedName>
    <definedName name="_____djm15">#REF!</definedName>
    <definedName name="_____epl2" localSheetId="3">#REF!</definedName>
    <definedName name="_____epl2" localSheetId="7">#REF!</definedName>
    <definedName name="_____epl2">#REF!</definedName>
    <definedName name="_____epl5" localSheetId="3">#REF!</definedName>
    <definedName name="_____epl5" localSheetId="7">#REF!</definedName>
    <definedName name="_____epl5">#REF!</definedName>
    <definedName name="_____est15" localSheetId="3">#REF!</definedName>
    <definedName name="_____est15" localSheetId="7">#REF!</definedName>
    <definedName name="_____est15">#REF!</definedName>
    <definedName name="_____fil1" localSheetId="3">#REF!</definedName>
    <definedName name="_____fil1" localSheetId="7">#REF!</definedName>
    <definedName name="_____fil1">#REF!</definedName>
    <definedName name="_____fil2" localSheetId="3">#REF!</definedName>
    <definedName name="_____fil2" localSheetId="7">#REF!</definedName>
    <definedName name="_____fil2">#REF!</definedName>
    <definedName name="_____fio12" localSheetId="3">#REF!</definedName>
    <definedName name="_____fio12" localSheetId="7">#REF!</definedName>
    <definedName name="_____fio12">#REF!</definedName>
    <definedName name="_____fis5" localSheetId="3">#REF!</definedName>
    <definedName name="_____fis5" localSheetId="7">#REF!</definedName>
    <definedName name="_____fis5">#REF!</definedName>
    <definedName name="_____flf50" localSheetId="3">#REF!</definedName>
    <definedName name="_____flf50" localSheetId="7">#REF!</definedName>
    <definedName name="_____flf50">#REF!</definedName>
    <definedName name="_____flf60" localSheetId="3">#REF!</definedName>
    <definedName name="_____flf60" localSheetId="7">#REF!</definedName>
    <definedName name="_____flf60">#REF!</definedName>
    <definedName name="_____fpd12" localSheetId="3">#REF!</definedName>
    <definedName name="_____fpd12" localSheetId="7">#REF!</definedName>
    <definedName name="_____fpd12">#REF!</definedName>
    <definedName name="_____fvr10" localSheetId="3">#REF!</definedName>
    <definedName name="_____fvr10" localSheetId="7">#REF!</definedName>
    <definedName name="_____fvr10">#REF!</definedName>
    <definedName name="_____itu1" localSheetId="3">#REF!</definedName>
    <definedName name="_____itu1" localSheetId="7">#REF!</definedName>
    <definedName name="_____itu1">#REF!</definedName>
    <definedName name="_____jla20" localSheetId="3">#REF!</definedName>
    <definedName name="_____jla20" localSheetId="7">#REF!</definedName>
    <definedName name="_____jla20">#REF!</definedName>
    <definedName name="_____jla32" localSheetId="3">#REF!</definedName>
    <definedName name="_____jla32" localSheetId="7">#REF!</definedName>
    <definedName name="_____jla32">#REF!</definedName>
    <definedName name="_____lpi100" localSheetId="3">#REF!</definedName>
    <definedName name="_____lpi100" localSheetId="7">#REF!</definedName>
    <definedName name="_____lpi100">#REF!</definedName>
    <definedName name="_____lvg10060" localSheetId="3">#REF!</definedName>
    <definedName name="_____lvg10060" localSheetId="7">#REF!</definedName>
    <definedName name="_____lvg10060">#REF!</definedName>
    <definedName name="_____lvp32" localSheetId="3">#REF!</definedName>
    <definedName name="_____lvp32" localSheetId="7">#REF!</definedName>
    <definedName name="_____lvp32">#REF!</definedName>
    <definedName name="_____lxa1" localSheetId="3">#REF!</definedName>
    <definedName name="_____lxa1" localSheetId="7">#REF!</definedName>
    <definedName name="_____lxa1">#REF!</definedName>
    <definedName name="_____man50" localSheetId="3">#REF!</definedName>
    <definedName name="_____man50" localSheetId="7">#REF!</definedName>
    <definedName name="_____man50">#REF!</definedName>
    <definedName name="_____ope1" localSheetId="3">#REF!</definedName>
    <definedName name="_____ope1" localSheetId="7">#REF!</definedName>
    <definedName name="_____ope1">#REF!</definedName>
    <definedName name="_____ope2" localSheetId="3">#REF!</definedName>
    <definedName name="_____ope2" localSheetId="7">#REF!</definedName>
    <definedName name="_____ope2">#REF!</definedName>
    <definedName name="_____ope3" localSheetId="3">#REF!</definedName>
    <definedName name="_____ope3" localSheetId="7">#REF!</definedName>
    <definedName name="_____ope3">#REF!</definedName>
    <definedName name="_____pne1" localSheetId="3">#REF!</definedName>
    <definedName name="_____pne1" localSheetId="7">#REF!</definedName>
    <definedName name="_____pne1">#REF!</definedName>
    <definedName name="_____pne2" localSheetId="3">#REF!</definedName>
    <definedName name="_____pne2" localSheetId="7">#REF!</definedName>
    <definedName name="_____pne2">#REF!</definedName>
    <definedName name="_____prg1515" localSheetId="3">#REF!</definedName>
    <definedName name="_____prg1515" localSheetId="7">#REF!</definedName>
    <definedName name="_____prg1515">#REF!</definedName>
    <definedName name="_____prg1827" localSheetId="3">#REF!</definedName>
    <definedName name="_____prg1827" localSheetId="7">#REF!</definedName>
    <definedName name="_____prg1827">#REF!</definedName>
    <definedName name="_____ptc7" localSheetId="3">#REF!</definedName>
    <definedName name="_____ptc7" localSheetId="7">#REF!</definedName>
    <definedName name="_____ptc7">#REF!</definedName>
    <definedName name="_____ptm6" localSheetId="3">#REF!</definedName>
    <definedName name="_____ptm6" localSheetId="7">#REF!</definedName>
    <definedName name="_____ptm6">#REF!</definedName>
    <definedName name="_____qdm3" localSheetId="3">#REF!</definedName>
    <definedName name="_____qdm3" localSheetId="7">#REF!</definedName>
    <definedName name="_____qdm3">#REF!</definedName>
    <definedName name="_____rcm10" localSheetId="3">#REF!</definedName>
    <definedName name="_____rcm10" localSheetId="7">#REF!</definedName>
    <definedName name="_____rcm10">#REF!</definedName>
    <definedName name="_____rcm15" localSheetId="3">#REF!</definedName>
    <definedName name="_____rcm15" localSheetId="7">#REF!</definedName>
    <definedName name="_____rcm15">#REF!</definedName>
    <definedName name="_____rcm20" localSheetId="3">#REF!</definedName>
    <definedName name="_____rcm20" localSheetId="7">#REF!</definedName>
    <definedName name="_____rcm20">#REF!</definedName>
    <definedName name="_____rcm5" localSheetId="3">#REF!</definedName>
    <definedName name="_____rcm5" localSheetId="7">#REF!</definedName>
    <definedName name="_____rcm5">#REF!</definedName>
    <definedName name="_____res10" localSheetId="3">#REF!</definedName>
    <definedName name="_____res10" localSheetId="7">#REF!</definedName>
    <definedName name="_____res10">#REF!</definedName>
    <definedName name="_____res15" localSheetId="3">#REF!</definedName>
    <definedName name="_____res15" localSheetId="7">#REF!</definedName>
    <definedName name="_____res15">#REF!</definedName>
    <definedName name="_____res5" localSheetId="3">#REF!</definedName>
    <definedName name="_____res5" localSheetId="7">#REF!</definedName>
    <definedName name="_____res5">#REF!</definedName>
    <definedName name="_____rge32" localSheetId="3">#REF!</definedName>
    <definedName name="_____rge32" localSheetId="7">#REF!</definedName>
    <definedName name="_____rge32">#REF!</definedName>
    <definedName name="_____rgf60" localSheetId="3">#REF!</definedName>
    <definedName name="_____rgf60" localSheetId="7">#REF!</definedName>
    <definedName name="_____rgf60">#REF!</definedName>
    <definedName name="_____rgp1" localSheetId="3">#REF!</definedName>
    <definedName name="_____rgp1" localSheetId="7">#REF!</definedName>
    <definedName name="_____rgp1">#REF!</definedName>
    <definedName name="_____tap100" localSheetId="3">#REF!</definedName>
    <definedName name="_____tap100" localSheetId="7">#REF!</definedName>
    <definedName name="_____tap100">#REF!</definedName>
    <definedName name="_____tb112" localSheetId="3">#REF!</definedName>
    <definedName name="_____tb112" localSheetId="7">#REF!</definedName>
    <definedName name="_____tb112">#REF!</definedName>
    <definedName name="_____tb16" localSheetId="3">#REF!</definedName>
    <definedName name="_____tb16" localSheetId="7">#REF!</definedName>
    <definedName name="_____tb16">#REF!</definedName>
    <definedName name="_____tb19" localSheetId="3">#REF!</definedName>
    <definedName name="_____tb19" localSheetId="7">#REF!</definedName>
    <definedName name="_____tb19">#REF!</definedName>
    <definedName name="_____tba20" localSheetId="3">#REF!</definedName>
    <definedName name="_____tba20" localSheetId="7">#REF!</definedName>
    <definedName name="_____tba20">#REF!</definedName>
    <definedName name="_____tba32" localSheetId="3">#REF!</definedName>
    <definedName name="_____tba32" localSheetId="7">#REF!</definedName>
    <definedName name="_____tba32">#REF!</definedName>
    <definedName name="_____tba50" localSheetId="3">#REF!</definedName>
    <definedName name="_____tba50" localSheetId="7">#REF!</definedName>
    <definedName name="_____tba50">#REF!</definedName>
    <definedName name="_____tba60" localSheetId="3">#REF!</definedName>
    <definedName name="_____tba60" localSheetId="7">#REF!</definedName>
    <definedName name="_____tba60">#REF!</definedName>
    <definedName name="_____tbe100" localSheetId="3">#REF!</definedName>
    <definedName name="_____tbe100" localSheetId="7">#REF!</definedName>
    <definedName name="_____tbe100">#REF!</definedName>
    <definedName name="_____tbe40" localSheetId="3">#REF!</definedName>
    <definedName name="_____tbe40" localSheetId="7">#REF!</definedName>
    <definedName name="_____tbe40">#REF!</definedName>
    <definedName name="_____tbe50" localSheetId="3">#REF!</definedName>
    <definedName name="_____tbe50" localSheetId="7">#REF!</definedName>
    <definedName name="_____tbe50">#REF!</definedName>
    <definedName name="_____tca80" localSheetId="3">#REF!</definedName>
    <definedName name="_____tca80" localSheetId="7">#REF!</definedName>
    <definedName name="_____tca80">#REF!</definedName>
    <definedName name="_____tea32" localSheetId="3">#REF!</definedName>
    <definedName name="_____tea32" localSheetId="7">#REF!</definedName>
    <definedName name="_____tea32">#REF!</definedName>
    <definedName name="_____tea4560" localSheetId="3">#REF!</definedName>
    <definedName name="_____tea4560" localSheetId="7">#REF!</definedName>
    <definedName name="_____tea4560">#REF!</definedName>
    <definedName name="_____tee100" localSheetId="3">#REF!</definedName>
    <definedName name="_____tee100" localSheetId="7">#REF!</definedName>
    <definedName name="_____tee100">#REF!</definedName>
    <definedName name="_____ter10050" localSheetId="3">#REF!</definedName>
    <definedName name="_____ter10050" localSheetId="7">#REF!</definedName>
    <definedName name="_____ter10050">#REF!</definedName>
    <definedName name="_____tfg50" localSheetId="3">#REF!</definedName>
    <definedName name="_____tfg50" localSheetId="7">#REF!</definedName>
    <definedName name="_____tfg50">#REF!</definedName>
    <definedName name="_____tlf6" localSheetId="3">#REF!</definedName>
    <definedName name="_____tlf6" localSheetId="7">#REF!</definedName>
    <definedName name="_____tlf6">#REF!</definedName>
    <definedName name="_____tub10012" localSheetId="3">#REF!</definedName>
    <definedName name="_____tub10012" localSheetId="7">#REF!</definedName>
    <definedName name="_____tub10012">#REF!</definedName>
    <definedName name="_____tub10015" localSheetId="3">#REF!</definedName>
    <definedName name="_____tub10015" localSheetId="7">#REF!</definedName>
    <definedName name="_____tub10015">#REF!</definedName>
    <definedName name="_____tub10020" localSheetId="3">#REF!</definedName>
    <definedName name="_____tub10020" localSheetId="7">#REF!</definedName>
    <definedName name="_____tub10020">#REF!</definedName>
    <definedName name="_____tub15012" localSheetId="3">#REF!</definedName>
    <definedName name="_____tub15012" localSheetId="7">#REF!</definedName>
    <definedName name="_____tub15012">#REF!</definedName>
    <definedName name="_____tub4012" localSheetId="3">#REF!</definedName>
    <definedName name="_____tub4012" localSheetId="7">#REF!</definedName>
    <definedName name="_____tub4012">#REF!</definedName>
    <definedName name="_____tub4015" localSheetId="3">#REF!</definedName>
    <definedName name="_____tub4015" localSheetId="7">#REF!</definedName>
    <definedName name="_____tub4015">#REF!</definedName>
    <definedName name="_____tub4020" localSheetId="3">#REF!</definedName>
    <definedName name="_____tub4020" localSheetId="7">#REF!</definedName>
    <definedName name="_____tub4020">#REF!</definedName>
    <definedName name="_____tub5012" localSheetId="3">#REF!</definedName>
    <definedName name="_____tub5012" localSheetId="7">#REF!</definedName>
    <definedName name="_____tub5012">#REF!</definedName>
    <definedName name="_____tub5015" localSheetId="3">#REF!</definedName>
    <definedName name="_____tub5015" localSheetId="7">#REF!</definedName>
    <definedName name="_____tub5015">#REF!</definedName>
    <definedName name="_____tub5020" localSheetId="3">#REF!</definedName>
    <definedName name="_____tub5020" localSheetId="7">#REF!</definedName>
    <definedName name="_____tub5020">#REF!</definedName>
    <definedName name="_____tub7512" localSheetId="3">#REF!</definedName>
    <definedName name="_____tub7512" localSheetId="7">#REF!</definedName>
    <definedName name="_____tub7512">#REF!</definedName>
    <definedName name="_____tub7515" localSheetId="3">#REF!</definedName>
    <definedName name="_____tub7515" localSheetId="7">#REF!</definedName>
    <definedName name="_____tub7515">#REF!</definedName>
    <definedName name="_____tub7520" localSheetId="3">#REF!</definedName>
    <definedName name="_____tub7520" localSheetId="7">#REF!</definedName>
    <definedName name="_____tub7520">#REF!</definedName>
    <definedName name="____aga14" localSheetId="3">#REF!</definedName>
    <definedName name="____aga14" localSheetId="7">#REF!</definedName>
    <definedName name="____aga14">#REF!</definedName>
    <definedName name="____aga16" localSheetId="3">#REF!</definedName>
    <definedName name="____aga16" localSheetId="7">#REF!</definedName>
    <definedName name="____aga16">#REF!</definedName>
    <definedName name="____asc321" localSheetId="3">#REF!</definedName>
    <definedName name="____asc321" localSheetId="7">#REF!</definedName>
    <definedName name="____asc321">#REF!</definedName>
    <definedName name="____bur3220" localSheetId="3">#REF!</definedName>
    <definedName name="____bur3220" localSheetId="7">#REF!</definedName>
    <definedName name="____bur3220">#REF!</definedName>
    <definedName name="____C930I" localSheetId="3">#REF!</definedName>
    <definedName name="____C930I" localSheetId="7">#REF!</definedName>
    <definedName name="____C930I">#REF!</definedName>
    <definedName name="____C930P" localSheetId="3">#REF!</definedName>
    <definedName name="____C930P" localSheetId="7">#REF!</definedName>
    <definedName name="____C930P">#REF!</definedName>
    <definedName name="____C966I" localSheetId="3">#REF!</definedName>
    <definedName name="____C966I" localSheetId="7">#REF!</definedName>
    <definedName name="____C966I">#REF!</definedName>
    <definedName name="____C966P" localSheetId="3">#REF!</definedName>
    <definedName name="____C966P" localSheetId="7">#REF!</definedName>
    <definedName name="____C966P">#REF!</definedName>
    <definedName name="____C996P" localSheetId="3">#REF!</definedName>
    <definedName name="____C996P" localSheetId="7">#REF!</definedName>
    <definedName name="____C996P">#REF!</definedName>
    <definedName name="____cap20" localSheetId="3">#REF!</definedName>
    <definedName name="____cap20" localSheetId="7">#REF!</definedName>
    <definedName name="____cap20">#REF!</definedName>
    <definedName name="____ccr12" localSheetId="3">#REF!</definedName>
    <definedName name="____ccr12" localSheetId="7">#REF!</definedName>
    <definedName name="____ccr12">#REF!</definedName>
    <definedName name="____cva32" localSheetId="3">#REF!</definedName>
    <definedName name="____cva32" localSheetId="7">#REF!</definedName>
    <definedName name="____cva32">#REF!</definedName>
    <definedName name="____cva50" localSheetId="3">#REF!</definedName>
    <definedName name="____cva50" localSheetId="7">#REF!</definedName>
    <definedName name="____cva50">#REF!</definedName>
    <definedName name="____cva60" localSheetId="3">#REF!</definedName>
    <definedName name="____cva60" localSheetId="7">#REF!</definedName>
    <definedName name="____cva60">#REF!</definedName>
    <definedName name="____cve45100" localSheetId="3">#REF!</definedName>
    <definedName name="____cve45100" localSheetId="7">#REF!</definedName>
    <definedName name="____cve45100">#REF!</definedName>
    <definedName name="____cve90100" localSheetId="3">#REF!</definedName>
    <definedName name="____cve90100" localSheetId="7">#REF!</definedName>
    <definedName name="____cve90100">#REF!</definedName>
    <definedName name="____cve9040" localSheetId="3">#REF!</definedName>
    <definedName name="____cve9040" localSheetId="7">#REF!</definedName>
    <definedName name="____cve9040">#REF!</definedName>
    <definedName name="____djm10" localSheetId="3">#REF!</definedName>
    <definedName name="____djm10" localSheetId="7">#REF!</definedName>
    <definedName name="____djm10">#REF!</definedName>
    <definedName name="____djm15" localSheetId="3">#REF!</definedName>
    <definedName name="____djm15" localSheetId="7">#REF!</definedName>
    <definedName name="____djm15">#REF!</definedName>
    <definedName name="____epl2" localSheetId="3">#REF!</definedName>
    <definedName name="____epl2" localSheetId="7">#REF!</definedName>
    <definedName name="____epl2">#REF!</definedName>
    <definedName name="____epl5" localSheetId="3">#REF!</definedName>
    <definedName name="____epl5" localSheetId="7">#REF!</definedName>
    <definedName name="____epl5">#REF!</definedName>
    <definedName name="____est15" localSheetId="3">#REF!</definedName>
    <definedName name="____est15" localSheetId="7">#REF!</definedName>
    <definedName name="____est15">#REF!</definedName>
    <definedName name="____fil1" localSheetId="3">#REF!</definedName>
    <definedName name="____fil1" localSheetId="7">#REF!</definedName>
    <definedName name="____fil1">#REF!</definedName>
    <definedName name="____fil2" localSheetId="3">#REF!</definedName>
    <definedName name="____fil2" localSheetId="7">#REF!</definedName>
    <definedName name="____fil2">#REF!</definedName>
    <definedName name="____fio12" localSheetId="3">#REF!</definedName>
    <definedName name="____fio12" localSheetId="7">#REF!</definedName>
    <definedName name="____fio12">#REF!</definedName>
    <definedName name="____fis5" localSheetId="3">#REF!</definedName>
    <definedName name="____fis5" localSheetId="7">#REF!</definedName>
    <definedName name="____fis5">#REF!</definedName>
    <definedName name="____flf50" localSheetId="3">#REF!</definedName>
    <definedName name="____flf50" localSheetId="7">#REF!</definedName>
    <definedName name="____flf50">#REF!</definedName>
    <definedName name="____flf60" localSheetId="3">#REF!</definedName>
    <definedName name="____flf60" localSheetId="7">#REF!</definedName>
    <definedName name="____flf60">#REF!</definedName>
    <definedName name="____fpd12" localSheetId="3">#REF!</definedName>
    <definedName name="____fpd12" localSheetId="7">#REF!</definedName>
    <definedName name="____fpd12">#REF!</definedName>
    <definedName name="____fvr10" localSheetId="3">#REF!</definedName>
    <definedName name="____fvr10" localSheetId="7">#REF!</definedName>
    <definedName name="____fvr10">#REF!</definedName>
    <definedName name="____itu1" localSheetId="3">#REF!</definedName>
    <definedName name="____itu1" localSheetId="7">#REF!</definedName>
    <definedName name="____itu1">#REF!</definedName>
    <definedName name="____jla20" localSheetId="3">#REF!</definedName>
    <definedName name="____jla20" localSheetId="7">#REF!</definedName>
    <definedName name="____jla20">#REF!</definedName>
    <definedName name="____jla32" localSheetId="3">#REF!</definedName>
    <definedName name="____jla32" localSheetId="7">#REF!</definedName>
    <definedName name="____jla32">#REF!</definedName>
    <definedName name="____lpi100" localSheetId="3">#REF!</definedName>
    <definedName name="____lpi100" localSheetId="7">#REF!</definedName>
    <definedName name="____lpi100">#REF!</definedName>
    <definedName name="____lvg10060" localSheetId="3">#REF!</definedName>
    <definedName name="____lvg10060" localSheetId="7">#REF!</definedName>
    <definedName name="____lvg10060">#REF!</definedName>
    <definedName name="____lvp32" localSheetId="3">#REF!</definedName>
    <definedName name="____lvp32" localSheetId="7">#REF!</definedName>
    <definedName name="____lvp32">#REF!</definedName>
    <definedName name="____lxa1" localSheetId="3">#REF!</definedName>
    <definedName name="____lxa1" localSheetId="7">#REF!</definedName>
    <definedName name="____lxa1">#REF!</definedName>
    <definedName name="____man50" localSheetId="3">#REF!</definedName>
    <definedName name="____man50" localSheetId="7">#REF!</definedName>
    <definedName name="____man50">#REF!</definedName>
    <definedName name="____ope1" localSheetId="3">#REF!</definedName>
    <definedName name="____ope1" localSheetId="7">#REF!</definedName>
    <definedName name="____ope1">#REF!</definedName>
    <definedName name="____ope2" localSheetId="3">#REF!</definedName>
    <definedName name="____ope2" localSheetId="7">#REF!</definedName>
    <definedName name="____ope2">#REF!</definedName>
    <definedName name="____ope3" localSheetId="3">#REF!</definedName>
    <definedName name="____ope3" localSheetId="7">#REF!</definedName>
    <definedName name="____ope3">#REF!</definedName>
    <definedName name="____pne1" localSheetId="3">#REF!</definedName>
    <definedName name="____pne1" localSheetId="7">#REF!</definedName>
    <definedName name="____pne1">#REF!</definedName>
    <definedName name="____pne2" localSheetId="3">#REF!</definedName>
    <definedName name="____pne2" localSheetId="7">#REF!</definedName>
    <definedName name="____pne2">#REF!</definedName>
    <definedName name="____prg1515" localSheetId="3">#REF!</definedName>
    <definedName name="____prg1515" localSheetId="7">#REF!</definedName>
    <definedName name="____prg1515">#REF!</definedName>
    <definedName name="____prg1827" localSheetId="3">#REF!</definedName>
    <definedName name="____prg1827" localSheetId="7">#REF!</definedName>
    <definedName name="____prg1827">#REF!</definedName>
    <definedName name="____ptc7" localSheetId="3">#REF!</definedName>
    <definedName name="____ptc7" localSheetId="7">#REF!</definedName>
    <definedName name="____ptc7">#REF!</definedName>
    <definedName name="____ptm6" localSheetId="3">#REF!</definedName>
    <definedName name="____ptm6" localSheetId="7">#REF!</definedName>
    <definedName name="____ptm6">#REF!</definedName>
    <definedName name="____qdm3" localSheetId="3">#REF!</definedName>
    <definedName name="____qdm3" localSheetId="7">#REF!</definedName>
    <definedName name="____qdm3">#REF!</definedName>
    <definedName name="____rcm10" localSheetId="3">#REF!</definedName>
    <definedName name="____rcm10" localSheetId="7">#REF!</definedName>
    <definedName name="____rcm10">#REF!</definedName>
    <definedName name="____rcm15" localSheetId="3">#REF!</definedName>
    <definedName name="____rcm15" localSheetId="7">#REF!</definedName>
    <definedName name="____rcm15">#REF!</definedName>
    <definedName name="____rcm20" localSheetId="3">#REF!</definedName>
    <definedName name="____rcm20" localSheetId="7">#REF!</definedName>
    <definedName name="____rcm20">#REF!</definedName>
    <definedName name="____rcm5" localSheetId="3">#REF!</definedName>
    <definedName name="____rcm5" localSheetId="7">#REF!</definedName>
    <definedName name="____rcm5">#REF!</definedName>
    <definedName name="____res10" localSheetId="3">#REF!</definedName>
    <definedName name="____res10" localSheetId="7">#REF!</definedName>
    <definedName name="____res10">#REF!</definedName>
    <definedName name="____res15" localSheetId="3">#REF!</definedName>
    <definedName name="____res15" localSheetId="7">#REF!</definedName>
    <definedName name="____res15">#REF!</definedName>
    <definedName name="____res5" localSheetId="3">#REF!</definedName>
    <definedName name="____res5" localSheetId="7">#REF!</definedName>
    <definedName name="____res5">#REF!</definedName>
    <definedName name="____rge32" localSheetId="3">#REF!</definedName>
    <definedName name="____rge32" localSheetId="7">#REF!</definedName>
    <definedName name="____rge32">#REF!</definedName>
    <definedName name="____rgf60" localSheetId="3">#REF!</definedName>
    <definedName name="____rgf60" localSheetId="7">#REF!</definedName>
    <definedName name="____rgf60">#REF!</definedName>
    <definedName name="____rgp1" localSheetId="3">#REF!</definedName>
    <definedName name="____rgp1" localSheetId="7">#REF!</definedName>
    <definedName name="____rgp1">#REF!</definedName>
    <definedName name="____tap100" localSheetId="3">#REF!</definedName>
    <definedName name="____tap100" localSheetId="7">#REF!</definedName>
    <definedName name="____tap100">#REF!</definedName>
    <definedName name="____tb112" localSheetId="3">#REF!</definedName>
    <definedName name="____tb112" localSheetId="7">#REF!</definedName>
    <definedName name="____tb112">#REF!</definedName>
    <definedName name="____tb16" localSheetId="3">#REF!</definedName>
    <definedName name="____tb16" localSheetId="7">#REF!</definedName>
    <definedName name="____tb16">#REF!</definedName>
    <definedName name="____tb19" localSheetId="3">#REF!</definedName>
    <definedName name="____tb19" localSheetId="7">#REF!</definedName>
    <definedName name="____tb19">#REF!</definedName>
    <definedName name="____tba20" localSheetId="3">#REF!</definedName>
    <definedName name="____tba20" localSheetId="7">#REF!</definedName>
    <definedName name="____tba20">#REF!</definedName>
    <definedName name="____tba32" localSheetId="3">#REF!</definedName>
    <definedName name="____tba32" localSheetId="7">#REF!</definedName>
    <definedName name="____tba32">#REF!</definedName>
    <definedName name="____tba50" localSheetId="3">#REF!</definedName>
    <definedName name="____tba50" localSheetId="7">#REF!</definedName>
    <definedName name="____tba50">#REF!</definedName>
    <definedName name="____tba60" localSheetId="3">#REF!</definedName>
    <definedName name="____tba60" localSheetId="7">#REF!</definedName>
    <definedName name="____tba60">#REF!</definedName>
    <definedName name="____tbe100" localSheetId="3">#REF!</definedName>
    <definedName name="____tbe100" localSheetId="7">#REF!</definedName>
    <definedName name="____tbe100">#REF!</definedName>
    <definedName name="____tbe40" localSheetId="3">#REF!</definedName>
    <definedName name="____tbe40" localSheetId="7">#REF!</definedName>
    <definedName name="____tbe40">#REF!</definedName>
    <definedName name="____tbe50" localSheetId="3">#REF!</definedName>
    <definedName name="____tbe50" localSheetId="7">#REF!</definedName>
    <definedName name="____tbe50">#REF!</definedName>
    <definedName name="____tca80" localSheetId="3">#REF!</definedName>
    <definedName name="____tca80" localSheetId="7">#REF!</definedName>
    <definedName name="____tca80">#REF!</definedName>
    <definedName name="____tea32" localSheetId="3">#REF!</definedName>
    <definedName name="____tea32" localSheetId="7">#REF!</definedName>
    <definedName name="____tea32">#REF!</definedName>
    <definedName name="____tea4560" localSheetId="3">#REF!</definedName>
    <definedName name="____tea4560" localSheetId="7">#REF!</definedName>
    <definedName name="____tea4560">#REF!</definedName>
    <definedName name="____tee100" localSheetId="3">#REF!</definedName>
    <definedName name="____tee100" localSheetId="7">#REF!</definedName>
    <definedName name="____tee100">#REF!</definedName>
    <definedName name="____ter10050" localSheetId="3">#REF!</definedName>
    <definedName name="____ter10050" localSheetId="7">#REF!</definedName>
    <definedName name="____ter10050">#REF!</definedName>
    <definedName name="____tfg50" localSheetId="3">#REF!</definedName>
    <definedName name="____tfg50" localSheetId="7">#REF!</definedName>
    <definedName name="____tfg50">#REF!</definedName>
    <definedName name="____tlf6" localSheetId="3">#REF!</definedName>
    <definedName name="____tlf6" localSheetId="7">#REF!</definedName>
    <definedName name="____tlf6">#REF!</definedName>
    <definedName name="____tub10012" localSheetId="3">#REF!</definedName>
    <definedName name="____tub10012" localSheetId="7">#REF!</definedName>
    <definedName name="____tub10012">#REF!</definedName>
    <definedName name="____tub10015" localSheetId="3">#REF!</definedName>
    <definedName name="____tub10015" localSheetId="7">#REF!</definedName>
    <definedName name="____tub10015">#REF!</definedName>
    <definedName name="____tub10020" localSheetId="3">#REF!</definedName>
    <definedName name="____tub10020" localSheetId="7">#REF!</definedName>
    <definedName name="____tub10020">#REF!</definedName>
    <definedName name="____tub15012" localSheetId="3">#REF!</definedName>
    <definedName name="____tub15012" localSheetId="7">#REF!</definedName>
    <definedName name="____tub15012">#REF!</definedName>
    <definedName name="____tub4012" localSheetId="3">#REF!</definedName>
    <definedName name="____tub4012" localSheetId="7">#REF!</definedName>
    <definedName name="____tub4012">#REF!</definedName>
    <definedName name="____tub4015" localSheetId="3">#REF!</definedName>
    <definedName name="____tub4015" localSheetId="7">#REF!</definedName>
    <definedName name="____tub4015">#REF!</definedName>
    <definedName name="____tub4020" localSheetId="3">#REF!</definedName>
    <definedName name="____tub4020" localSheetId="7">#REF!</definedName>
    <definedName name="____tub4020">#REF!</definedName>
    <definedName name="____tub5012" localSheetId="3">#REF!</definedName>
    <definedName name="____tub5012" localSheetId="7">#REF!</definedName>
    <definedName name="____tub5012">#REF!</definedName>
    <definedName name="____tub5015" localSheetId="3">#REF!</definedName>
    <definedName name="____tub5015" localSheetId="7">#REF!</definedName>
    <definedName name="____tub5015">#REF!</definedName>
    <definedName name="____tub5020" localSheetId="3">#REF!</definedName>
    <definedName name="____tub5020" localSheetId="7">#REF!</definedName>
    <definedName name="____tub5020">#REF!</definedName>
    <definedName name="____tub7512" localSheetId="3">#REF!</definedName>
    <definedName name="____tub7512" localSheetId="7">#REF!</definedName>
    <definedName name="____tub7512">#REF!</definedName>
    <definedName name="____tub7515" localSheetId="3">#REF!</definedName>
    <definedName name="____tub7515" localSheetId="7">#REF!</definedName>
    <definedName name="____tub7515">#REF!</definedName>
    <definedName name="____tub7520" localSheetId="3">#REF!</definedName>
    <definedName name="____tub7520" localSheetId="7">#REF!</definedName>
    <definedName name="____tub7520">#REF!</definedName>
    <definedName name="___aga14" localSheetId="3">#REF!</definedName>
    <definedName name="___aga14" localSheetId="7">#REF!</definedName>
    <definedName name="___aga14">#REF!</definedName>
    <definedName name="___aga16" localSheetId="3">#REF!</definedName>
    <definedName name="___aga16" localSheetId="7">#REF!</definedName>
    <definedName name="___aga16">#REF!</definedName>
    <definedName name="___asc321" localSheetId="3">#REF!</definedName>
    <definedName name="___asc321" localSheetId="7">#REF!</definedName>
    <definedName name="___asc321">#REF!</definedName>
    <definedName name="___bur3220" localSheetId="3">#REF!</definedName>
    <definedName name="___bur3220" localSheetId="7">#REF!</definedName>
    <definedName name="___bur3220">#REF!</definedName>
    <definedName name="___C930I" localSheetId="3">#REF!</definedName>
    <definedName name="___C930I" localSheetId="7">#REF!</definedName>
    <definedName name="___C930I">#REF!</definedName>
    <definedName name="___C930P" localSheetId="3">#REF!</definedName>
    <definedName name="___C930P" localSheetId="7">#REF!</definedName>
    <definedName name="___C930P">#REF!</definedName>
    <definedName name="___C966I" localSheetId="3">#REF!</definedName>
    <definedName name="___C966I" localSheetId="7">#REF!</definedName>
    <definedName name="___C966I">#REF!</definedName>
    <definedName name="___C966P" localSheetId="3">#REF!</definedName>
    <definedName name="___C966P" localSheetId="7">#REF!</definedName>
    <definedName name="___C966P">#REF!</definedName>
    <definedName name="___C996P" localSheetId="3">#REF!</definedName>
    <definedName name="___C996P" localSheetId="7">#REF!</definedName>
    <definedName name="___C996P">#REF!</definedName>
    <definedName name="___cap20" localSheetId="3">#REF!</definedName>
    <definedName name="___cap20" localSheetId="7">#REF!</definedName>
    <definedName name="___cap20">#REF!</definedName>
    <definedName name="___ccr12" localSheetId="3">#REF!</definedName>
    <definedName name="___ccr12" localSheetId="7">#REF!</definedName>
    <definedName name="___ccr12">#REF!</definedName>
    <definedName name="___cva32" localSheetId="3">#REF!</definedName>
    <definedName name="___cva32" localSheetId="7">#REF!</definedName>
    <definedName name="___cva32">#REF!</definedName>
    <definedName name="___cva50" localSheetId="3">#REF!</definedName>
    <definedName name="___cva50" localSheetId="7">#REF!</definedName>
    <definedName name="___cva50">#REF!</definedName>
    <definedName name="___cva60" localSheetId="3">#REF!</definedName>
    <definedName name="___cva60" localSheetId="7">#REF!</definedName>
    <definedName name="___cva60">#REF!</definedName>
    <definedName name="___cve45100" localSheetId="3">#REF!</definedName>
    <definedName name="___cve45100" localSheetId="7">#REF!</definedName>
    <definedName name="___cve45100">#REF!</definedName>
    <definedName name="___cve90100" localSheetId="3">#REF!</definedName>
    <definedName name="___cve90100" localSheetId="7">#REF!</definedName>
    <definedName name="___cve90100">#REF!</definedName>
    <definedName name="___cve9040" localSheetId="3">#REF!</definedName>
    <definedName name="___cve9040" localSheetId="7">#REF!</definedName>
    <definedName name="___cve9040">#REF!</definedName>
    <definedName name="___djm10" localSheetId="3">#REF!</definedName>
    <definedName name="___djm10" localSheetId="7">#REF!</definedName>
    <definedName name="___djm10">#REF!</definedName>
    <definedName name="___djm15" localSheetId="3">#REF!</definedName>
    <definedName name="___djm15" localSheetId="7">#REF!</definedName>
    <definedName name="___djm15">#REF!</definedName>
    <definedName name="___epl2" localSheetId="3">#REF!</definedName>
    <definedName name="___epl2" localSheetId="7">#REF!</definedName>
    <definedName name="___epl2">#REF!</definedName>
    <definedName name="___epl5" localSheetId="3">#REF!</definedName>
    <definedName name="___epl5" localSheetId="7">#REF!</definedName>
    <definedName name="___epl5">#REF!</definedName>
    <definedName name="___est15" localSheetId="3">#REF!</definedName>
    <definedName name="___est15" localSheetId="7">#REF!</definedName>
    <definedName name="___est15">#REF!</definedName>
    <definedName name="___fil1" localSheetId="3">#REF!</definedName>
    <definedName name="___fil1" localSheetId="7">#REF!</definedName>
    <definedName name="___fil1">#REF!</definedName>
    <definedName name="___fil2" localSheetId="3">#REF!</definedName>
    <definedName name="___fil2" localSheetId="7">#REF!</definedName>
    <definedName name="___fil2">#REF!</definedName>
    <definedName name="___fio12" localSheetId="3">#REF!</definedName>
    <definedName name="___fio12" localSheetId="7">#REF!</definedName>
    <definedName name="___fio12">#REF!</definedName>
    <definedName name="___fis5" localSheetId="3">#REF!</definedName>
    <definedName name="___fis5" localSheetId="7">#REF!</definedName>
    <definedName name="___fis5">#REF!</definedName>
    <definedName name="___flf50" localSheetId="3">#REF!</definedName>
    <definedName name="___flf50" localSheetId="7">#REF!</definedName>
    <definedName name="___flf50">#REF!</definedName>
    <definedName name="___flf60" localSheetId="3">#REF!</definedName>
    <definedName name="___flf60" localSheetId="7">#REF!</definedName>
    <definedName name="___flf60">#REF!</definedName>
    <definedName name="___fpd12" localSheetId="3">#REF!</definedName>
    <definedName name="___fpd12" localSheetId="7">#REF!</definedName>
    <definedName name="___fpd12">#REF!</definedName>
    <definedName name="___fvr10" localSheetId="3">#REF!</definedName>
    <definedName name="___fvr10" localSheetId="7">#REF!</definedName>
    <definedName name="___fvr10">#REF!</definedName>
    <definedName name="___itu1" localSheetId="3">#REF!</definedName>
    <definedName name="___itu1" localSheetId="7">#REF!</definedName>
    <definedName name="___itu1">#REF!</definedName>
    <definedName name="___jla20" localSheetId="3">#REF!</definedName>
    <definedName name="___jla20" localSheetId="7">#REF!</definedName>
    <definedName name="___jla20">#REF!</definedName>
    <definedName name="___jla32" localSheetId="3">#REF!</definedName>
    <definedName name="___jla32" localSheetId="7">#REF!</definedName>
    <definedName name="___jla32">#REF!</definedName>
    <definedName name="___lpi100" localSheetId="3">#REF!</definedName>
    <definedName name="___lpi100" localSheetId="7">#REF!</definedName>
    <definedName name="___lpi100">#REF!</definedName>
    <definedName name="___lvg10060" localSheetId="3">#REF!</definedName>
    <definedName name="___lvg10060" localSheetId="7">#REF!</definedName>
    <definedName name="___lvg10060">#REF!</definedName>
    <definedName name="___lvp32" localSheetId="3">#REF!</definedName>
    <definedName name="___lvp32" localSheetId="7">#REF!</definedName>
    <definedName name="___lvp32">#REF!</definedName>
    <definedName name="___lxa1" localSheetId="3">#REF!</definedName>
    <definedName name="___lxa1" localSheetId="7">#REF!</definedName>
    <definedName name="___lxa1">#REF!</definedName>
    <definedName name="___man50" localSheetId="3">#REF!</definedName>
    <definedName name="___man50" localSheetId="7">#REF!</definedName>
    <definedName name="___man50">#REF!</definedName>
    <definedName name="___ope1" localSheetId="3">#REF!</definedName>
    <definedName name="___ope1" localSheetId="7">#REF!</definedName>
    <definedName name="___ope1">#REF!</definedName>
    <definedName name="___ope2" localSheetId="3">#REF!</definedName>
    <definedName name="___ope2" localSheetId="7">#REF!</definedName>
    <definedName name="___ope2">#REF!</definedName>
    <definedName name="___ope3" localSheetId="3">#REF!</definedName>
    <definedName name="___ope3" localSheetId="7">#REF!</definedName>
    <definedName name="___ope3">#REF!</definedName>
    <definedName name="___pne1" localSheetId="3">#REF!</definedName>
    <definedName name="___pne1" localSheetId="7">#REF!</definedName>
    <definedName name="___pne1">#REF!</definedName>
    <definedName name="___pne2" localSheetId="3">#REF!</definedName>
    <definedName name="___pne2" localSheetId="7">#REF!</definedName>
    <definedName name="___pne2">#REF!</definedName>
    <definedName name="___prg1515" localSheetId="3">#REF!</definedName>
    <definedName name="___prg1515" localSheetId="7">#REF!</definedName>
    <definedName name="___prg1515">#REF!</definedName>
    <definedName name="___prg1827" localSheetId="3">#REF!</definedName>
    <definedName name="___prg1827" localSheetId="7">#REF!</definedName>
    <definedName name="___prg1827">#REF!</definedName>
    <definedName name="___ptc7" localSheetId="3">#REF!</definedName>
    <definedName name="___ptc7" localSheetId="7">#REF!</definedName>
    <definedName name="___ptc7">#REF!</definedName>
    <definedName name="___ptm6" localSheetId="3">#REF!</definedName>
    <definedName name="___ptm6" localSheetId="7">#REF!</definedName>
    <definedName name="___ptm6">#REF!</definedName>
    <definedName name="___qdm3" localSheetId="3">#REF!</definedName>
    <definedName name="___qdm3" localSheetId="7">#REF!</definedName>
    <definedName name="___qdm3">#REF!</definedName>
    <definedName name="___rcm10" localSheetId="3">#REF!</definedName>
    <definedName name="___rcm10" localSheetId="7">#REF!</definedName>
    <definedName name="___rcm10">#REF!</definedName>
    <definedName name="___rcm15" localSheetId="3">#REF!</definedName>
    <definedName name="___rcm15" localSheetId="7">#REF!</definedName>
    <definedName name="___rcm15">#REF!</definedName>
    <definedName name="___rcm20" localSheetId="3">#REF!</definedName>
    <definedName name="___rcm20" localSheetId="7">#REF!</definedName>
    <definedName name="___rcm20">#REF!</definedName>
    <definedName name="___rcm5" localSheetId="3">#REF!</definedName>
    <definedName name="___rcm5" localSheetId="7">#REF!</definedName>
    <definedName name="___rcm5">#REF!</definedName>
    <definedName name="___res10" localSheetId="3">#REF!</definedName>
    <definedName name="___res10" localSheetId="7">#REF!</definedName>
    <definedName name="___res10">#REF!</definedName>
    <definedName name="___res15" localSheetId="3">#REF!</definedName>
    <definedName name="___res15" localSheetId="7">#REF!</definedName>
    <definedName name="___res15">#REF!</definedName>
    <definedName name="___res5" localSheetId="3">#REF!</definedName>
    <definedName name="___res5" localSheetId="7">#REF!</definedName>
    <definedName name="___res5">#REF!</definedName>
    <definedName name="___rge32" localSheetId="3">#REF!</definedName>
    <definedName name="___rge32" localSheetId="7">#REF!</definedName>
    <definedName name="___rge32">#REF!</definedName>
    <definedName name="___rgf60" localSheetId="3">#REF!</definedName>
    <definedName name="___rgf60" localSheetId="7">#REF!</definedName>
    <definedName name="___rgf60">#REF!</definedName>
    <definedName name="___rgp1" localSheetId="3">#REF!</definedName>
    <definedName name="___rgp1" localSheetId="7">#REF!</definedName>
    <definedName name="___rgp1">#REF!</definedName>
    <definedName name="___tap100" localSheetId="3">#REF!</definedName>
    <definedName name="___tap100" localSheetId="7">#REF!</definedName>
    <definedName name="___tap100">#REF!</definedName>
    <definedName name="___tb112" localSheetId="3">#REF!</definedName>
    <definedName name="___tb112" localSheetId="7">#REF!</definedName>
    <definedName name="___tb112">#REF!</definedName>
    <definedName name="___tb16" localSheetId="3">#REF!</definedName>
    <definedName name="___tb16" localSheetId="7">#REF!</definedName>
    <definedName name="___tb16">#REF!</definedName>
    <definedName name="___tb19" localSheetId="3">#REF!</definedName>
    <definedName name="___tb19" localSheetId="7">#REF!</definedName>
    <definedName name="___tb19">#REF!</definedName>
    <definedName name="___tba20" localSheetId="3">#REF!</definedName>
    <definedName name="___tba20" localSheetId="7">#REF!</definedName>
    <definedName name="___tba20">#REF!</definedName>
    <definedName name="___tba32" localSheetId="3">#REF!</definedName>
    <definedName name="___tba32" localSheetId="7">#REF!</definedName>
    <definedName name="___tba32">#REF!</definedName>
    <definedName name="___tba50" localSheetId="3">#REF!</definedName>
    <definedName name="___tba50" localSheetId="7">#REF!</definedName>
    <definedName name="___tba50">#REF!</definedName>
    <definedName name="___tba60" localSheetId="3">#REF!</definedName>
    <definedName name="___tba60" localSheetId="7">#REF!</definedName>
    <definedName name="___tba60">#REF!</definedName>
    <definedName name="___tbe100" localSheetId="3">#REF!</definedName>
    <definedName name="___tbe100" localSheetId="7">#REF!</definedName>
    <definedName name="___tbe100">#REF!</definedName>
    <definedName name="___tbe40" localSheetId="3">#REF!</definedName>
    <definedName name="___tbe40" localSheetId="7">#REF!</definedName>
    <definedName name="___tbe40">#REF!</definedName>
    <definedName name="___tbe50" localSheetId="3">#REF!</definedName>
    <definedName name="___tbe50" localSheetId="7">#REF!</definedName>
    <definedName name="___tbe50">#REF!</definedName>
    <definedName name="___tca80" localSheetId="3">#REF!</definedName>
    <definedName name="___tca80" localSheetId="7">#REF!</definedName>
    <definedName name="___tca80">#REF!</definedName>
    <definedName name="___tea32" localSheetId="3">#REF!</definedName>
    <definedName name="___tea32" localSheetId="7">#REF!</definedName>
    <definedName name="___tea32">#REF!</definedName>
    <definedName name="___tea4560" localSheetId="3">#REF!</definedName>
    <definedName name="___tea4560" localSheetId="7">#REF!</definedName>
    <definedName name="___tea4560">#REF!</definedName>
    <definedName name="___tee100" localSheetId="3">#REF!</definedName>
    <definedName name="___tee100" localSheetId="7">#REF!</definedName>
    <definedName name="___tee100">#REF!</definedName>
    <definedName name="___ter10050" localSheetId="3">#REF!</definedName>
    <definedName name="___ter10050" localSheetId="7">#REF!</definedName>
    <definedName name="___ter10050">#REF!</definedName>
    <definedName name="___tfg50" localSheetId="3">#REF!</definedName>
    <definedName name="___tfg50" localSheetId="7">#REF!</definedName>
    <definedName name="___tfg50">#REF!</definedName>
    <definedName name="___tlf6" localSheetId="3">#REF!</definedName>
    <definedName name="___tlf6" localSheetId="7">#REF!</definedName>
    <definedName name="___tlf6">#REF!</definedName>
    <definedName name="___tub10012" localSheetId="3">#REF!</definedName>
    <definedName name="___tub10012" localSheetId="7">#REF!</definedName>
    <definedName name="___tub10012">#REF!</definedName>
    <definedName name="___tub10015" localSheetId="3">#REF!</definedName>
    <definedName name="___tub10015" localSheetId="7">#REF!</definedName>
    <definedName name="___tub10015">#REF!</definedName>
    <definedName name="___tub10020" localSheetId="3">#REF!</definedName>
    <definedName name="___tub10020" localSheetId="7">#REF!</definedName>
    <definedName name="___tub10020">#REF!</definedName>
    <definedName name="___tub15012" localSheetId="3">#REF!</definedName>
    <definedName name="___tub15012" localSheetId="7">#REF!</definedName>
    <definedName name="___tub15012">#REF!</definedName>
    <definedName name="___tub4012" localSheetId="3">#REF!</definedName>
    <definedName name="___tub4012" localSheetId="7">#REF!</definedName>
    <definedName name="___tub4012">#REF!</definedName>
    <definedName name="___tub4015" localSheetId="3">#REF!</definedName>
    <definedName name="___tub4015" localSheetId="7">#REF!</definedName>
    <definedName name="___tub4015">#REF!</definedName>
    <definedName name="___tub4020" localSheetId="3">#REF!</definedName>
    <definedName name="___tub4020" localSheetId="7">#REF!</definedName>
    <definedName name="___tub4020">#REF!</definedName>
    <definedName name="___tub5012" localSheetId="3">#REF!</definedName>
    <definedName name="___tub5012" localSheetId="7">#REF!</definedName>
    <definedName name="___tub5012">#REF!</definedName>
    <definedName name="___tub5015" localSheetId="3">#REF!</definedName>
    <definedName name="___tub5015" localSheetId="7">#REF!</definedName>
    <definedName name="___tub5015">#REF!</definedName>
    <definedName name="___tub5020" localSheetId="3">#REF!</definedName>
    <definedName name="___tub5020" localSheetId="7">#REF!</definedName>
    <definedName name="___tub5020">#REF!</definedName>
    <definedName name="___tub7512" localSheetId="3">#REF!</definedName>
    <definedName name="___tub7512" localSheetId="7">#REF!</definedName>
    <definedName name="___tub7512">#REF!</definedName>
    <definedName name="___tub7515" localSheetId="3">#REF!</definedName>
    <definedName name="___tub7515" localSheetId="7">#REF!</definedName>
    <definedName name="___tub7515">#REF!</definedName>
    <definedName name="___tub7520" localSheetId="3">#REF!</definedName>
    <definedName name="___tub7520" localSheetId="7">#REF!</definedName>
    <definedName name="___tub7520">#REF!</definedName>
    <definedName name="__aga14" localSheetId="3">#REF!</definedName>
    <definedName name="__aga14" localSheetId="7">#REF!</definedName>
    <definedName name="__aga14">#REF!</definedName>
    <definedName name="__aga16" localSheetId="3">#REF!</definedName>
    <definedName name="__aga16" localSheetId="7">#REF!</definedName>
    <definedName name="__aga16">#REF!</definedName>
    <definedName name="__asc321" localSheetId="3">#REF!</definedName>
    <definedName name="__asc321" localSheetId="7">#REF!</definedName>
    <definedName name="__asc321">#REF!</definedName>
    <definedName name="__BAH2007" localSheetId="3">#REF!</definedName>
    <definedName name="__BAH2007" localSheetId="7">#REF!</definedName>
    <definedName name="__BAH2007">#REF!</definedName>
    <definedName name="__BAH2008" localSheetId="3">#REF!</definedName>
    <definedName name="__BAH2008" localSheetId="7">#REF!</definedName>
    <definedName name="__BAH2008">#REF!</definedName>
    <definedName name="__BAH2009" localSheetId="3">#REF!</definedName>
    <definedName name="__BAH2009" localSheetId="7">#REF!</definedName>
    <definedName name="__BAH2009">#REF!</definedName>
    <definedName name="__BAH2010" localSheetId="3">#REF!</definedName>
    <definedName name="__BAH2010" localSheetId="7">#REF!</definedName>
    <definedName name="__BAH2010">#REF!</definedName>
    <definedName name="__bur3220" localSheetId="3">#REF!</definedName>
    <definedName name="__bur3220" localSheetId="7">#REF!</definedName>
    <definedName name="__bur3220">#REF!</definedName>
    <definedName name="__C930I" localSheetId="3">#REF!</definedName>
    <definedName name="__C930I" localSheetId="7">#REF!</definedName>
    <definedName name="__C930I">#REF!</definedName>
    <definedName name="__C930P" localSheetId="3">#REF!</definedName>
    <definedName name="__C930P" localSheetId="7">#REF!</definedName>
    <definedName name="__C930P">#REF!</definedName>
    <definedName name="__C966I" localSheetId="3">#REF!</definedName>
    <definedName name="__C966I" localSheetId="7">#REF!</definedName>
    <definedName name="__C966I">#REF!</definedName>
    <definedName name="__C966P" localSheetId="3">#REF!</definedName>
    <definedName name="__C966P" localSheetId="7">#REF!</definedName>
    <definedName name="__C966P">#REF!</definedName>
    <definedName name="__C996P" localSheetId="3">#REF!</definedName>
    <definedName name="__C996P" localSheetId="7">#REF!</definedName>
    <definedName name="__C996P">#REF!</definedName>
    <definedName name="__cap20" localSheetId="3">#REF!</definedName>
    <definedName name="__cap20" localSheetId="7">#REF!</definedName>
    <definedName name="__cap20">#REF!</definedName>
    <definedName name="__ccr12" localSheetId="3">#REF!</definedName>
    <definedName name="__ccr12" localSheetId="7">#REF!</definedName>
    <definedName name="__ccr12">#REF!</definedName>
    <definedName name="__cva32" localSheetId="3">#REF!</definedName>
    <definedName name="__cva32" localSheetId="7">#REF!</definedName>
    <definedName name="__cva32">#REF!</definedName>
    <definedName name="__cva50" localSheetId="3">#REF!</definedName>
    <definedName name="__cva50" localSheetId="7">#REF!</definedName>
    <definedName name="__cva50">#REF!</definedName>
    <definedName name="__cva60" localSheetId="3">#REF!</definedName>
    <definedName name="__cva60" localSheetId="7">#REF!</definedName>
    <definedName name="__cva60">#REF!</definedName>
    <definedName name="__cve45100" localSheetId="3">#REF!</definedName>
    <definedName name="__cve45100" localSheetId="7">#REF!</definedName>
    <definedName name="__cve45100">#REF!</definedName>
    <definedName name="__cve90100" localSheetId="3">#REF!</definedName>
    <definedName name="__cve90100" localSheetId="7">#REF!</definedName>
    <definedName name="__cve90100">#REF!</definedName>
    <definedName name="__cve9040" localSheetId="3">#REF!</definedName>
    <definedName name="__cve9040" localSheetId="7">#REF!</definedName>
    <definedName name="__cve9040">#REF!</definedName>
    <definedName name="__djm10" localSheetId="3">#REF!</definedName>
    <definedName name="__djm10" localSheetId="7">#REF!</definedName>
    <definedName name="__djm10">#REF!</definedName>
    <definedName name="__djm15" localSheetId="3">#REF!</definedName>
    <definedName name="__djm15" localSheetId="7">#REF!</definedName>
    <definedName name="__djm15">#REF!</definedName>
    <definedName name="__epl2" localSheetId="3">#REF!</definedName>
    <definedName name="__epl2" localSheetId="7">#REF!</definedName>
    <definedName name="__epl2">#REF!</definedName>
    <definedName name="__epl5" localSheetId="3">#REF!</definedName>
    <definedName name="__epl5" localSheetId="7">#REF!</definedName>
    <definedName name="__epl5">#REF!</definedName>
    <definedName name="__est15" localSheetId="3">#REF!</definedName>
    <definedName name="__est15" localSheetId="7">#REF!</definedName>
    <definedName name="__est15">#REF!</definedName>
    <definedName name="__fil1" localSheetId="3">#REF!</definedName>
    <definedName name="__fil1" localSheetId="7">#REF!</definedName>
    <definedName name="__fil1">#REF!</definedName>
    <definedName name="__fil2" localSheetId="3">#REF!</definedName>
    <definedName name="__fil2" localSheetId="7">#REF!</definedName>
    <definedName name="__fil2">#REF!</definedName>
    <definedName name="__fio12" localSheetId="3">#REF!</definedName>
    <definedName name="__fio12" localSheetId="7">#REF!</definedName>
    <definedName name="__fio12">#REF!</definedName>
    <definedName name="__fis5" localSheetId="3">#REF!</definedName>
    <definedName name="__fis5" localSheetId="7">#REF!</definedName>
    <definedName name="__fis5">#REF!</definedName>
    <definedName name="__flf50" localSheetId="3">#REF!</definedName>
    <definedName name="__flf50" localSheetId="7">#REF!</definedName>
    <definedName name="__flf50">#REF!</definedName>
    <definedName name="__flf60" localSheetId="3">#REF!</definedName>
    <definedName name="__flf60" localSheetId="7">#REF!</definedName>
    <definedName name="__flf60">#REF!</definedName>
    <definedName name="__fpd12" localSheetId="3">#REF!</definedName>
    <definedName name="__fpd12" localSheetId="7">#REF!</definedName>
    <definedName name="__fpd12">#REF!</definedName>
    <definedName name="__fvr10" localSheetId="3">#REF!</definedName>
    <definedName name="__fvr10" localSheetId="7">#REF!</definedName>
    <definedName name="__fvr10">#REF!</definedName>
    <definedName name="__itu1" localSheetId="3">#REF!</definedName>
    <definedName name="__itu1" localSheetId="7">#REF!</definedName>
    <definedName name="__itu1">#REF!</definedName>
    <definedName name="__jla20" localSheetId="3">#REF!</definedName>
    <definedName name="__jla20" localSheetId="7">#REF!</definedName>
    <definedName name="__jla20">#REF!</definedName>
    <definedName name="__jla32" localSheetId="3">#REF!</definedName>
    <definedName name="__jla32" localSheetId="7">#REF!</definedName>
    <definedName name="__jla32">#REF!</definedName>
    <definedName name="__lpi100" localSheetId="3">#REF!</definedName>
    <definedName name="__lpi100" localSheetId="7">#REF!</definedName>
    <definedName name="__lpi100">#REF!</definedName>
    <definedName name="__lvg10060" localSheetId="3">#REF!</definedName>
    <definedName name="__lvg10060" localSheetId="7">#REF!</definedName>
    <definedName name="__lvg10060">#REF!</definedName>
    <definedName name="__lvp32" localSheetId="3">#REF!</definedName>
    <definedName name="__lvp32" localSheetId="7">#REF!</definedName>
    <definedName name="__lvp32">#REF!</definedName>
    <definedName name="__lxa1" localSheetId="3">#REF!</definedName>
    <definedName name="__lxa1" localSheetId="7">#REF!</definedName>
    <definedName name="__lxa1">#REF!</definedName>
    <definedName name="__man50" localSheetId="3">#REF!</definedName>
    <definedName name="__man50" localSheetId="7">#REF!</definedName>
    <definedName name="__man50">#REF!</definedName>
    <definedName name="__MIN2007" localSheetId="3">#REF!</definedName>
    <definedName name="__MIN2007" localSheetId="7">#REF!</definedName>
    <definedName name="__MIN2007">#REF!</definedName>
    <definedName name="__MIN2008" localSheetId="3">#REF!</definedName>
    <definedName name="__MIN2008" localSheetId="7">#REF!</definedName>
    <definedName name="__MIN2008">#REF!</definedName>
    <definedName name="__MIN2009" localSheetId="3">#REF!</definedName>
    <definedName name="__MIN2009" localSheetId="7">#REF!</definedName>
    <definedName name="__MIN2009">#REF!</definedName>
    <definedName name="__MIN2010" localSheetId="3">#REF!</definedName>
    <definedName name="__MIN2010" localSheetId="7">#REF!</definedName>
    <definedName name="__MIN2010">#REF!</definedName>
    <definedName name="__NAC2007" localSheetId="3">#REF!</definedName>
    <definedName name="__NAC2007" localSheetId="7">#REF!</definedName>
    <definedName name="__NAC2007">#REF!</definedName>
    <definedName name="__NAC2008" localSheetId="3">#REF!</definedName>
    <definedName name="__NAC2008" localSheetId="7">#REF!</definedName>
    <definedName name="__NAC2008">#REF!</definedName>
    <definedName name="__NAC2009" localSheetId="3">#REF!</definedName>
    <definedName name="__NAC2009" localSheetId="7">#REF!</definedName>
    <definedName name="__NAC2009">#REF!</definedName>
    <definedName name="__NAC2010" localSheetId="3">#REF!</definedName>
    <definedName name="__NAC2010" localSheetId="7">#REF!</definedName>
    <definedName name="__NAC2010">#REF!</definedName>
    <definedName name="__ope1" localSheetId="3">#REF!</definedName>
    <definedName name="__ope1" localSheetId="7">#REF!</definedName>
    <definedName name="__ope1">#REF!</definedName>
    <definedName name="__ope2" localSheetId="3">#REF!</definedName>
    <definedName name="__ope2" localSheetId="7">#REF!</definedName>
    <definedName name="__ope2">#REF!</definedName>
    <definedName name="__ope3" localSheetId="3">#REF!</definedName>
    <definedName name="__ope3" localSheetId="7">#REF!</definedName>
    <definedName name="__ope3">#REF!</definedName>
    <definedName name="__PAR2007" localSheetId="3">#REF!</definedName>
    <definedName name="__PAR2007" localSheetId="7">#REF!</definedName>
    <definedName name="__PAR2007">#REF!</definedName>
    <definedName name="__PAR2008" localSheetId="3">#REF!</definedName>
    <definedName name="__PAR2008" localSheetId="7">#REF!</definedName>
    <definedName name="__PAR2008">#REF!</definedName>
    <definedName name="__PAR2009" localSheetId="3">#REF!</definedName>
    <definedName name="__PAR2009" localSheetId="7">#REF!</definedName>
    <definedName name="__PAR2009">#REF!</definedName>
    <definedName name="__PAR2010" localSheetId="3">#REF!</definedName>
    <definedName name="__PAR2010" localSheetId="7">#REF!</definedName>
    <definedName name="__PAR2010">#REF!</definedName>
    <definedName name="__PER2007" localSheetId="3">#REF!</definedName>
    <definedName name="__PER2007" localSheetId="7">#REF!</definedName>
    <definedName name="__PER2007">#REF!</definedName>
    <definedName name="__PER2008" localSheetId="3">#REF!</definedName>
    <definedName name="__PER2008" localSheetId="7">#REF!</definedName>
    <definedName name="__PER2008">#REF!</definedName>
    <definedName name="__PER2009" localSheetId="3">#REF!</definedName>
    <definedName name="__PER2009" localSheetId="7">#REF!</definedName>
    <definedName name="__PER2009">#REF!</definedName>
    <definedName name="__PER2010" localSheetId="3">#REF!</definedName>
    <definedName name="__PER2010" localSheetId="7">#REF!</definedName>
    <definedName name="__PER2010">#REF!</definedName>
    <definedName name="__pne1" localSheetId="3">#REF!</definedName>
    <definedName name="__pne1" localSheetId="7">#REF!</definedName>
    <definedName name="__pne1">#REF!</definedName>
    <definedName name="__pne2" localSheetId="3">#REF!</definedName>
    <definedName name="__pne2" localSheetId="7">#REF!</definedName>
    <definedName name="__pne2">#REF!</definedName>
    <definedName name="__prg1515" localSheetId="3">#REF!</definedName>
    <definedName name="__prg1515" localSheetId="7">#REF!</definedName>
    <definedName name="__prg1515">#REF!</definedName>
    <definedName name="__prg1827" localSheetId="3">#REF!</definedName>
    <definedName name="__prg1827" localSheetId="7">#REF!</definedName>
    <definedName name="__prg1827">#REF!</definedName>
    <definedName name="__ptc7" localSheetId="3">#REF!</definedName>
    <definedName name="__ptc7" localSheetId="7">#REF!</definedName>
    <definedName name="__ptc7">#REF!</definedName>
    <definedName name="__ptm6" localSheetId="3">#REF!</definedName>
    <definedName name="__ptm6" localSheetId="7">#REF!</definedName>
    <definedName name="__ptm6">#REF!</definedName>
    <definedName name="__qdm3" localSheetId="3">#REF!</definedName>
    <definedName name="__qdm3" localSheetId="7">#REF!</definedName>
    <definedName name="__qdm3">#REF!</definedName>
    <definedName name="__rcm10" localSheetId="3">#REF!</definedName>
    <definedName name="__rcm10" localSheetId="7">#REF!</definedName>
    <definedName name="__rcm10">#REF!</definedName>
    <definedName name="__rcm15" localSheetId="3">#REF!</definedName>
    <definedName name="__rcm15" localSheetId="7">#REF!</definedName>
    <definedName name="__rcm15">#REF!</definedName>
    <definedName name="__rcm20" localSheetId="3">#REF!</definedName>
    <definedName name="__rcm20" localSheetId="7">#REF!</definedName>
    <definedName name="__rcm20">#REF!</definedName>
    <definedName name="__rcm5" localSheetId="3">#REF!</definedName>
    <definedName name="__rcm5" localSheetId="7">#REF!</definedName>
    <definedName name="__rcm5">#REF!</definedName>
    <definedName name="__res10" localSheetId="3">#REF!</definedName>
    <definedName name="__res10" localSheetId="7">#REF!</definedName>
    <definedName name="__res10">#REF!</definedName>
    <definedName name="__res15" localSheetId="3">#REF!</definedName>
    <definedName name="__res15" localSheetId="7">#REF!</definedName>
    <definedName name="__res15">#REF!</definedName>
    <definedName name="__res5" localSheetId="3">#REF!</definedName>
    <definedName name="__res5" localSheetId="7">#REF!</definedName>
    <definedName name="__res5">#REF!</definedName>
    <definedName name="__rge32" localSheetId="3">#REF!</definedName>
    <definedName name="__rge32" localSheetId="7">#REF!</definedName>
    <definedName name="__rge32">#REF!</definedName>
    <definedName name="__rgf60" localSheetId="3">#REF!</definedName>
    <definedName name="__rgf60" localSheetId="7">#REF!</definedName>
    <definedName name="__rgf60">#REF!</definedName>
    <definedName name="__rgp1" localSheetId="3">#REF!</definedName>
    <definedName name="__rgp1" localSheetId="7">#REF!</definedName>
    <definedName name="__rgp1">#REF!</definedName>
    <definedName name="__SER2007" localSheetId="3">#REF!</definedName>
    <definedName name="__SER2007" localSheetId="7">#REF!</definedName>
    <definedName name="__SER2007">#REF!</definedName>
    <definedName name="__SER2008" localSheetId="3">#REF!</definedName>
    <definedName name="__SER2008" localSheetId="7">#REF!</definedName>
    <definedName name="__SER2008">#REF!</definedName>
    <definedName name="__SER2009" localSheetId="3">#REF!</definedName>
    <definedName name="__SER2009" localSheetId="7">#REF!</definedName>
    <definedName name="__SER2009">#REF!</definedName>
    <definedName name="__SER2010" localSheetId="3">#REF!</definedName>
    <definedName name="__SER2010" localSheetId="7">#REF!</definedName>
    <definedName name="__SER2010">#REF!</definedName>
    <definedName name="__tap100" localSheetId="3">#REF!</definedName>
    <definedName name="__tap100" localSheetId="7">#REF!</definedName>
    <definedName name="__tap100">#REF!</definedName>
    <definedName name="__tb112" localSheetId="3">#REF!</definedName>
    <definedName name="__tb112" localSheetId="7">#REF!</definedName>
    <definedName name="__tb112">#REF!</definedName>
    <definedName name="__tb16" localSheetId="3">#REF!</definedName>
    <definedName name="__tb16" localSheetId="7">#REF!</definedName>
    <definedName name="__tb16">#REF!</definedName>
    <definedName name="__tb19" localSheetId="3">#REF!</definedName>
    <definedName name="__tb19" localSheetId="7">#REF!</definedName>
    <definedName name="__tb19">#REF!</definedName>
    <definedName name="__tba20" localSheetId="3">#REF!</definedName>
    <definedName name="__tba20" localSheetId="7">#REF!</definedName>
    <definedName name="__tba20">#REF!</definedName>
    <definedName name="__tba32" localSheetId="3">#REF!</definedName>
    <definedName name="__tba32" localSheetId="7">#REF!</definedName>
    <definedName name="__tba32">#REF!</definedName>
    <definedName name="__tba50" localSheetId="3">#REF!</definedName>
    <definedName name="__tba50" localSheetId="7">#REF!</definedName>
    <definedName name="__tba50">#REF!</definedName>
    <definedName name="__tba60" localSheetId="3">#REF!</definedName>
    <definedName name="__tba60" localSheetId="7">#REF!</definedName>
    <definedName name="__tba60">#REF!</definedName>
    <definedName name="__tbe100" localSheetId="3">#REF!</definedName>
    <definedName name="__tbe100" localSheetId="7">#REF!</definedName>
    <definedName name="__tbe100">#REF!</definedName>
    <definedName name="__tbe40" localSheetId="3">#REF!</definedName>
    <definedName name="__tbe40" localSheetId="7">#REF!</definedName>
    <definedName name="__tbe40">#REF!</definedName>
    <definedName name="__tbe50" localSheetId="3">#REF!</definedName>
    <definedName name="__tbe50" localSheetId="7">#REF!</definedName>
    <definedName name="__tbe50">#REF!</definedName>
    <definedName name="__tca80" localSheetId="3">#REF!</definedName>
    <definedName name="__tca80" localSheetId="7">#REF!</definedName>
    <definedName name="__tca80">#REF!</definedName>
    <definedName name="__tea32" localSheetId="3">#REF!</definedName>
    <definedName name="__tea32" localSheetId="7">#REF!</definedName>
    <definedName name="__tea32">#REF!</definedName>
    <definedName name="__tea4560" localSheetId="3">#REF!</definedName>
    <definedName name="__tea4560" localSheetId="7">#REF!</definedName>
    <definedName name="__tea4560">#REF!</definedName>
    <definedName name="__tee100" localSheetId="3">#REF!</definedName>
    <definedName name="__tee100" localSheetId="7">#REF!</definedName>
    <definedName name="__tee100">#REF!</definedName>
    <definedName name="__ter10050" localSheetId="3">#REF!</definedName>
    <definedName name="__ter10050" localSheetId="7">#REF!</definedName>
    <definedName name="__ter10050">#REF!</definedName>
    <definedName name="__tfg50" localSheetId="3">#REF!</definedName>
    <definedName name="__tfg50" localSheetId="7">#REF!</definedName>
    <definedName name="__tfg50">#REF!</definedName>
    <definedName name="__tlf6" localSheetId="3">#REF!</definedName>
    <definedName name="__tlf6" localSheetId="7">#REF!</definedName>
    <definedName name="__tlf6">#REF!</definedName>
    <definedName name="__tub10012" localSheetId="3">#REF!</definedName>
    <definedName name="__tub10012" localSheetId="7">#REF!</definedName>
    <definedName name="__tub10012">#REF!</definedName>
    <definedName name="__tub10015" localSheetId="3">#REF!</definedName>
    <definedName name="__tub10015" localSheetId="7">#REF!</definedName>
    <definedName name="__tub10015">#REF!</definedName>
    <definedName name="__tub10020" localSheetId="3">#REF!</definedName>
    <definedName name="__tub10020" localSheetId="7">#REF!</definedName>
    <definedName name="__tub10020">#REF!</definedName>
    <definedName name="__tub15012" localSheetId="3">#REF!</definedName>
    <definedName name="__tub15012" localSheetId="7">#REF!</definedName>
    <definedName name="__tub15012">#REF!</definedName>
    <definedName name="__tub4012" localSheetId="3">#REF!</definedName>
    <definedName name="__tub4012" localSheetId="7">#REF!</definedName>
    <definedName name="__tub4012">#REF!</definedName>
    <definedName name="__tub4015" localSheetId="3">#REF!</definedName>
    <definedName name="__tub4015" localSheetId="7">#REF!</definedName>
    <definedName name="__tub4015">#REF!</definedName>
    <definedName name="__tub4020" localSheetId="3">#REF!</definedName>
    <definedName name="__tub4020" localSheetId="7">#REF!</definedName>
    <definedName name="__tub4020">#REF!</definedName>
    <definedName name="__tub5012" localSheetId="3">#REF!</definedName>
    <definedName name="__tub5012" localSheetId="7">#REF!</definedName>
    <definedName name="__tub5012">#REF!</definedName>
    <definedName name="__tub5015" localSheetId="3">#REF!</definedName>
    <definedName name="__tub5015" localSheetId="7">#REF!</definedName>
    <definedName name="__tub5015">#REF!</definedName>
    <definedName name="__tub5020" localSheetId="3">#REF!</definedName>
    <definedName name="__tub5020" localSheetId="7">#REF!</definedName>
    <definedName name="__tub5020">#REF!</definedName>
    <definedName name="__tub7512" localSheetId="3">#REF!</definedName>
    <definedName name="__tub7512" localSheetId="7">#REF!</definedName>
    <definedName name="__tub7512">#REF!</definedName>
    <definedName name="__tub7515" localSheetId="3">#REF!</definedName>
    <definedName name="__tub7515" localSheetId="7">#REF!</definedName>
    <definedName name="__tub7515">#REF!</definedName>
    <definedName name="__tub7520" localSheetId="3">#REF!</definedName>
    <definedName name="__tub7520" localSheetId="7">#REF!</definedName>
    <definedName name="__tub7520">#REF!</definedName>
    <definedName name="_aga14" localSheetId="3">#REF!</definedName>
    <definedName name="_aga14" localSheetId="7">#REF!</definedName>
    <definedName name="_aga14">#REF!</definedName>
    <definedName name="_aga16" localSheetId="3">#REF!</definedName>
    <definedName name="_aga16" localSheetId="7">#REF!</definedName>
    <definedName name="_aga16">#REF!</definedName>
    <definedName name="_asc321" localSheetId="3">#REF!</definedName>
    <definedName name="_asc321" localSheetId="7">#REF!</definedName>
    <definedName name="_asc321">#REF!</definedName>
    <definedName name="_BAH2007" localSheetId="3">#REF!</definedName>
    <definedName name="_BAH2007" localSheetId="7">#REF!</definedName>
    <definedName name="_BAH2007">#REF!</definedName>
    <definedName name="_BAH2008" localSheetId="3">#REF!</definedName>
    <definedName name="_BAH2008" localSheetId="7">#REF!</definedName>
    <definedName name="_BAH2008">#REF!</definedName>
    <definedName name="_BAH2009" localSheetId="3">#REF!</definedName>
    <definedName name="_BAH2009" localSheetId="7">#REF!</definedName>
    <definedName name="_BAH2009">#REF!</definedName>
    <definedName name="_BAH2010" localSheetId="3">#REF!</definedName>
    <definedName name="_BAH2010" localSheetId="7">#REF!</definedName>
    <definedName name="_BAH2010">#REF!</definedName>
    <definedName name="_bur3220" localSheetId="3">#REF!</definedName>
    <definedName name="_bur3220" localSheetId="7">#REF!</definedName>
    <definedName name="_bur3220">#REF!</definedName>
    <definedName name="_C930I" localSheetId="3">#REF!</definedName>
    <definedName name="_C930I" localSheetId="7">#REF!</definedName>
    <definedName name="_C930I">#REF!</definedName>
    <definedName name="_C930P" localSheetId="3">#REF!</definedName>
    <definedName name="_C930P" localSheetId="7">#REF!</definedName>
    <definedName name="_C930P">#REF!</definedName>
    <definedName name="_C966I" localSheetId="3">#REF!</definedName>
    <definedName name="_C966I" localSheetId="7">#REF!</definedName>
    <definedName name="_C966I">#REF!</definedName>
    <definedName name="_C966P" localSheetId="3">#REF!</definedName>
    <definedName name="_C966P" localSheetId="7">#REF!</definedName>
    <definedName name="_C966P">#REF!</definedName>
    <definedName name="_C996P" localSheetId="3">#REF!</definedName>
    <definedName name="_C996P" localSheetId="7">#REF!</definedName>
    <definedName name="_C996P">#REF!</definedName>
    <definedName name="_cap20" localSheetId="3">#REF!</definedName>
    <definedName name="_cap20" localSheetId="7">#REF!</definedName>
    <definedName name="_cap20">#REF!</definedName>
    <definedName name="_ccr12" localSheetId="3">#REF!</definedName>
    <definedName name="_ccr12" localSheetId="7">#REF!</definedName>
    <definedName name="_ccr12">#REF!</definedName>
    <definedName name="_cva32" localSheetId="3">#REF!</definedName>
    <definedName name="_cva32" localSheetId="7">#REF!</definedName>
    <definedName name="_cva32">#REF!</definedName>
    <definedName name="_cva50" localSheetId="3">#REF!</definedName>
    <definedName name="_cva50" localSheetId="7">#REF!</definedName>
    <definedName name="_cva50">#REF!</definedName>
    <definedName name="_cva60" localSheetId="3">#REF!</definedName>
    <definedName name="_cva60" localSheetId="7">#REF!</definedName>
    <definedName name="_cva60">#REF!</definedName>
    <definedName name="_cve45100" localSheetId="3">#REF!</definedName>
    <definedName name="_cve45100" localSheetId="7">#REF!</definedName>
    <definedName name="_cve45100">#REF!</definedName>
    <definedName name="_cve90100" localSheetId="3">#REF!</definedName>
    <definedName name="_cve90100" localSheetId="7">#REF!</definedName>
    <definedName name="_cve90100">#REF!</definedName>
    <definedName name="_cve9040" localSheetId="3">#REF!</definedName>
    <definedName name="_cve9040" localSheetId="7">#REF!</definedName>
    <definedName name="_cve9040">#REF!</definedName>
    <definedName name="_djm10" localSheetId="3">#REF!</definedName>
    <definedName name="_djm10" localSheetId="7">#REF!</definedName>
    <definedName name="_djm10">#REF!</definedName>
    <definedName name="_djm15" localSheetId="3">#REF!</definedName>
    <definedName name="_djm15" localSheetId="7">#REF!</definedName>
    <definedName name="_djm15">#REF!</definedName>
    <definedName name="_epl2" localSheetId="3">#REF!</definedName>
    <definedName name="_epl2" localSheetId="7">#REF!</definedName>
    <definedName name="_epl2">#REF!</definedName>
    <definedName name="_epl5" localSheetId="3">#REF!</definedName>
    <definedName name="_epl5" localSheetId="7">#REF!</definedName>
    <definedName name="_epl5">#REF!</definedName>
    <definedName name="_est15" localSheetId="3">#REF!</definedName>
    <definedName name="_est15" localSheetId="7">#REF!</definedName>
    <definedName name="_est15">#REF!</definedName>
    <definedName name="_fil1" localSheetId="3">#REF!</definedName>
    <definedName name="_fil1" localSheetId="7">#REF!</definedName>
    <definedName name="_fil1">#REF!</definedName>
    <definedName name="_fil2" localSheetId="3">#REF!</definedName>
    <definedName name="_fil2" localSheetId="7">#REF!</definedName>
    <definedName name="_fil2">#REF!</definedName>
    <definedName name="_xlnm._FilterDatabase" localSheetId="4" hidden="1">MEMÓRIA!$A$5:$P$320</definedName>
    <definedName name="_xlnm._FilterDatabase" localSheetId="2" hidden="1">ORÇAMENTO!$B$7:$M$195</definedName>
    <definedName name="_fio12" localSheetId="3">#REF!</definedName>
    <definedName name="_fio12" localSheetId="7">#REF!</definedName>
    <definedName name="_fio12">#REF!</definedName>
    <definedName name="_fis5" localSheetId="3">#REF!</definedName>
    <definedName name="_fis5" localSheetId="7">#REF!</definedName>
    <definedName name="_fis5">#REF!</definedName>
    <definedName name="_flf50" localSheetId="3">#REF!</definedName>
    <definedName name="_flf50" localSheetId="7">#REF!</definedName>
    <definedName name="_flf50">#REF!</definedName>
    <definedName name="_flf60" localSheetId="3">#REF!</definedName>
    <definedName name="_flf60" localSheetId="7">#REF!</definedName>
    <definedName name="_flf60">#REF!</definedName>
    <definedName name="_fpd12" localSheetId="3">#REF!</definedName>
    <definedName name="_fpd12" localSheetId="7">#REF!</definedName>
    <definedName name="_fpd12">#REF!</definedName>
    <definedName name="_fvr10" localSheetId="3">#REF!</definedName>
    <definedName name="_fvr10" localSheetId="7">#REF!</definedName>
    <definedName name="_fvr10">#REF!</definedName>
    <definedName name="_itu1" localSheetId="3">#REF!</definedName>
    <definedName name="_itu1" localSheetId="7">#REF!</definedName>
    <definedName name="_itu1">#REF!</definedName>
    <definedName name="_jla20" localSheetId="3">#REF!</definedName>
    <definedName name="_jla20" localSheetId="7">#REF!</definedName>
    <definedName name="_jla20">#REF!</definedName>
    <definedName name="_jla32" localSheetId="3">#REF!</definedName>
    <definedName name="_jla32" localSheetId="7">#REF!</definedName>
    <definedName name="_jla32">#REF!</definedName>
    <definedName name="_lpi100" localSheetId="3">#REF!</definedName>
    <definedName name="_lpi100" localSheetId="7">#REF!</definedName>
    <definedName name="_lpi100">#REF!</definedName>
    <definedName name="_lvg10060" localSheetId="3">#REF!</definedName>
    <definedName name="_lvg10060" localSheetId="7">#REF!</definedName>
    <definedName name="_lvg10060">#REF!</definedName>
    <definedName name="_lvp32" localSheetId="3">#REF!</definedName>
    <definedName name="_lvp32" localSheetId="7">#REF!</definedName>
    <definedName name="_lvp32">#REF!</definedName>
    <definedName name="_lxa1" localSheetId="3">#REF!</definedName>
    <definedName name="_lxa1" localSheetId="7">#REF!</definedName>
    <definedName name="_lxa1">#REF!</definedName>
    <definedName name="_man50" localSheetId="3">#REF!</definedName>
    <definedName name="_man50" localSheetId="7">#REF!</definedName>
    <definedName name="_man50">#REF!</definedName>
    <definedName name="_MIN2007" localSheetId="3">#REF!</definedName>
    <definedName name="_MIN2007" localSheetId="7">#REF!</definedName>
    <definedName name="_MIN2007">#REF!</definedName>
    <definedName name="_MIN2008" localSheetId="3">#REF!</definedName>
    <definedName name="_MIN2008" localSheetId="7">#REF!</definedName>
    <definedName name="_MIN2008">#REF!</definedName>
    <definedName name="_MIN2009" localSheetId="3">#REF!</definedName>
    <definedName name="_MIN2009" localSheetId="7">#REF!</definedName>
    <definedName name="_MIN2009">#REF!</definedName>
    <definedName name="_MIN2010" localSheetId="3">#REF!</definedName>
    <definedName name="_MIN2010" localSheetId="7">#REF!</definedName>
    <definedName name="_MIN2010">#REF!</definedName>
    <definedName name="_NAC2007" localSheetId="3">#REF!</definedName>
    <definedName name="_NAC2007" localSheetId="7">#REF!</definedName>
    <definedName name="_NAC2007">#REF!</definedName>
    <definedName name="_NAC2008" localSheetId="3">#REF!</definedName>
    <definedName name="_NAC2008" localSheetId="7">#REF!</definedName>
    <definedName name="_NAC2008">#REF!</definedName>
    <definedName name="_NAC2009" localSheetId="3">#REF!</definedName>
    <definedName name="_NAC2009" localSheetId="7">#REF!</definedName>
    <definedName name="_NAC2009">#REF!</definedName>
    <definedName name="_NAC2010" localSheetId="3">#REF!</definedName>
    <definedName name="_NAC2010" localSheetId="7">#REF!</definedName>
    <definedName name="_NAC2010">#REF!</definedName>
    <definedName name="_ope1" localSheetId="3">#REF!</definedName>
    <definedName name="_ope1" localSheetId="7">#REF!</definedName>
    <definedName name="_ope1">#REF!</definedName>
    <definedName name="_ope2" localSheetId="3">#REF!</definedName>
    <definedName name="_ope2" localSheetId="7">#REF!</definedName>
    <definedName name="_ope2">#REF!</definedName>
    <definedName name="_ope3" localSheetId="3">#REF!</definedName>
    <definedName name="_ope3" localSheetId="7">#REF!</definedName>
    <definedName name="_ope3">#REF!</definedName>
    <definedName name="_PAR2007" localSheetId="3">#REF!</definedName>
    <definedName name="_PAR2007" localSheetId="7">#REF!</definedName>
    <definedName name="_PAR2007">#REF!</definedName>
    <definedName name="_PAR2008" localSheetId="3">#REF!</definedName>
    <definedName name="_PAR2008" localSheetId="7">#REF!</definedName>
    <definedName name="_PAR2008">#REF!</definedName>
    <definedName name="_PAR2009" localSheetId="3">#REF!</definedName>
    <definedName name="_PAR2009" localSheetId="7">#REF!</definedName>
    <definedName name="_PAR2009">#REF!</definedName>
    <definedName name="_PAR2010" localSheetId="3">#REF!</definedName>
    <definedName name="_PAR2010" localSheetId="7">#REF!</definedName>
    <definedName name="_PAR2010">#REF!</definedName>
    <definedName name="_PER2007" localSheetId="3">#REF!</definedName>
    <definedName name="_PER2007" localSheetId="7">#REF!</definedName>
    <definedName name="_PER2007">#REF!</definedName>
    <definedName name="_PER2008" localSheetId="3">#REF!</definedName>
    <definedName name="_PER2008" localSheetId="7">#REF!</definedName>
    <definedName name="_PER2008">#REF!</definedName>
    <definedName name="_PER2009" localSheetId="3">#REF!</definedName>
    <definedName name="_PER2009" localSheetId="7">#REF!</definedName>
    <definedName name="_PER2009">#REF!</definedName>
    <definedName name="_PER2010" localSheetId="3">#REF!</definedName>
    <definedName name="_PER2010" localSheetId="7">#REF!</definedName>
    <definedName name="_PER2010">#REF!</definedName>
    <definedName name="_pne1" localSheetId="3">#REF!</definedName>
    <definedName name="_pne1" localSheetId="7">#REF!</definedName>
    <definedName name="_pne1">#REF!</definedName>
    <definedName name="_pne2" localSheetId="3">#REF!</definedName>
    <definedName name="_pne2" localSheetId="7">#REF!</definedName>
    <definedName name="_pne2">#REF!</definedName>
    <definedName name="_prg1515" localSheetId="3">#REF!</definedName>
    <definedName name="_prg1515" localSheetId="7">#REF!</definedName>
    <definedName name="_prg1515">#REF!</definedName>
    <definedName name="_prg1827" localSheetId="3">#REF!</definedName>
    <definedName name="_prg1827" localSheetId="7">#REF!</definedName>
    <definedName name="_prg1827">#REF!</definedName>
    <definedName name="_ptc7" localSheetId="3">#REF!</definedName>
    <definedName name="_ptc7" localSheetId="7">#REF!</definedName>
    <definedName name="_ptc7">#REF!</definedName>
    <definedName name="_ptm6" localSheetId="3">#REF!</definedName>
    <definedName name="_ptm6" localSheetId="7">#REF!</definedName>
    <definedName name="_ptm6">#REF!</definedName>
    <definedName name="_qdm3" localSheetId="3">#REF!</definedName>
    <definedName name="_qdm3" localSheetId="7">#REF!</definedName>
    <definedName name="_qdm3">#REF!</definedName>
    <definedName name="_rcm10" localSheetId="3">#REF!</definedName>
    <definedName name="_rcm10" localSheetId="7">#REF!</definedName>
    <definedName name="_rcm10">#REF!</definedName>
    <definedName name="_rcm15" localSheetId="3">#REF!</definedName>
    <definedName name="_rcm15" localSheetId="7">#REF!</definedName>
    <definedName name="_rcm15">#REF!</definedName>
    <definedName name="_rcm20" localSheetId="3">#REF!</definedName>
    <definedName name="_rcm20" localSheetId="7">#REF!</definedName>
    <definedName name="_rcm20">#REF!</definedName>
    <definedName name="_rcm5" localSheetId="3">#REF!</definedName>
    <definedName name="_rcm5" localSheetId="7">#REF!</definedName>
    <definedName name="_rcm5">#REF!</definedName>
    <definedName name="_res10" localSheetId="3">#REF!</definedName>
    <definedName name="_res10" localSheetId="7">#REF!</definedName>
    <definedName name="_res10">#REF!</definedName>
    <definedName name="_res15" localSheetId="3">#REF!</definedName>
    <definedName name="_res15" localSheetId="7">#REF!</definedName>
    <definedName name="_res15">#REF!</definedName>
    <definedName name="_res5" localSheetId="3">#REF!</definedName>
    <definedName name="_res5" localSheetId="7">#REF!</definedName>
    <definedName name="_res5">#REF!</definedName>
    <definedName name="_rge32" localSheetId="3">#REF!</definedName>
    <definedName name="_rge32" localSheetId="7">#REF!</definedName>
    <definedName name="_rge32">#REF!</definedName>
    <definedName name="_rgf60" localSheetId="3">#REF!</definedName>
    <definedName name="_rgf60" localSheetId="7">#REF!</definedName>
    <definedName name="_rgf60">#REF!</definedName>
    <definedName name="_rgp1" localSheetId="3">#REF!</definedName>
    <definedName name="_rgp1" localSheetId="7">#REF!</definedName>
    <definedName name="_rgp1">#REF!</definedName>
    <definedName name="_SER2007" localSheetId="3">#REF!</definedName>
    <definedName name="_SER2007" localSheetId="7">#REF!</definedName>
    <definedName name="_SER2007">#REF!</definedName>
    <definedName name="_SER2008" localSheetId="3">#REF!</definedName>
    <definedName name="_SER2008" localSheetId="7">#REF!</definedName>
    <definedName name="_SER2008">#REF!</definedName>
    <definedName name="_SER2009" localSheetId="3">#REF!</definedName>
    <definedName name="_SER2009" localSheetId="7">#REF!</definedName>
    <definedName name="_SER2009">#REF!</definedName>
    <definedName name="_SER2010" localSheetId="3">#REF!</definedName>
    <definedName name="_SER2010" localSheetId="7">#REF!</definedName>
    <definedName name="_SER2010">#REF!</definedName>
    <definedName name="_tap100" localSheetId="3">#REF!</definedName>
    <definedName name="_tap100" localSheetId="7">#REF!</definedName>
    <definedName name="_tap100">#REF!</definedName>
    <definedName name="_tb112" localSheetId="3">#REF!</definedName>
    <definedName name="_tb112" localSheetId="7">#REF!</definedName>
    <definedName name="_tb112">#REF!</definedName>
    <definedName name="_tb16" localSheetId="3">#REF!</definedName>
    <definedName name="_tb16" localSheetId="7">#REF!</definedName>
    <definedName name="_tb16">#REF!</definedName>
    <definedName name="_tb19" localSheetId="3">#REF!</definedName>
    <definedName name="_tb19" localSheetId="7">#REF!</definedName>
    <definedName name="_tb19">#REF!</definedName>
    <definedName name="_tba20" localSheetId="3">#REF!</definedName>
    <definedName name="_tba20" localSheetId="7">#REF!</definedName>
    <definedName name="_tba20">#REF!</definedName>
    <definedName name="_tba32" localSheetId="3">#REF!</definedName>
    <definedName name="_tba32" localSheetId="7">#REF!</definedName>
    <definedName name="_tba32">#REF!</definedName>
    <definedName name="_tba50" localSheetId="3">#REF!</definedName>
    <definedName name="_tba50" localSheetId="7">#REF!</definedName>
    <definedName name="_tba50">#REF!</definedName>
    <definedName name="_tba60" localSheetId="3">#REF!</definedName>
    <definedName name="_tba60" localSheetId="7">#REF!</definedName>
    <definedName name="_tba60">#REF!</definedName>
    <definedName name="_tbe100" localSheetId="3">#REF!</definedName>
    <definedName name="_tbe100" localSheetId="7">#REF!</definedName>
    <definedName name="_tbe100">#REF!</definedName>
    <definedName name="_tbe40" localSheetId="3">#REF!</definedName>
    <definedName name="_tbe40" localSheetId="7">#REF!</definedName>
    <definedName name="_tbe40">#REF!</definedName>
    <definedName name="_tbe50" localSheetId="3">#REF!</definedName>
    <definedName name="_tbe50" localSheetId="7">#REF!</definedName>
    <definedName name="_tbe50">#REF!</definedName>
    <definedName name="_tca80" localSheetId="3">#REF!</definedName>
    <definedName name="_tca80" localSheetId="7">#REF!</definedName>
    <definedName name="_tca80">#REF!</definedName>
    <definedName name="_tea32" localSheetId="3">#REF!</definedName>
    <definedName name="_tea32" localSheetId="7">#REF!</definedName>
    <definedName name="_tea32">#REF!</definedName>
    <definedName name="_tea4560" localSheetId="3">#REF!</definedName>
    <definedName name="_tea4560" localSheetId="7">#REF!</definedName>
    <definedName name="_tea4560">#REF!</definedName>
    <definedName name="_tee100" localSheetId="3">#REF!</definedName>
    <definedName name="_tee100" localSheetId="7">#REF!</definedName>
    <definedName name="_tee100">#REF!</definedName>
    <definedName name="_ter10050" localSheetId="3">#REF!</definedName>
    <definedName name="_ter10050" localSheetId="7">#REF!</definedName>
    <definedName name="_ter10050">#REF!</definedName>
    <definedName name="_tfg50" localSheetId="3">#REF!</definedName>
    <definedName name="_tfg50" localSheetId="7">#REF!</definedName>
    <definedName name="_tfg50">#REF!</definedName>
    <definedName name="_tlf6" localSheetId="3">#REF!</definedName>
    <definedName name="_tlf6" localSheetId="7">#REF!</definedName>
    <definedName name="_tlf6">#REF!</definedName>
    <definedName name="_Toc66241043_8" localSheetId="3">'[1]3-Material de consumo'!#REF!</definedName>
    <definedName name="_Toc66241043_8" localSheetId="7">'[1]3-Material de consumo'!#REF!</definedName>
    <definedName name="_Toc66241043_8">'[1]3-Material de consumo'!#REF!</definedName>
    <definedName name="_Toc66241043_8_1" localSheetId="3">'[1]3-Material de consumo'!#REF!</definedName>
    <definedName name="_Toc66241043_8_1" localSheetId="7">'[1]3-Material de consumo'!#REF!</definedName>
    <definedName name="_Toc66241043_8_1">'[1]3-Material de consumo'!#REF!</definedName>
    <definedName name="_Toc66241043_8_1_4" localSheetId="3">'[1]3-Material de consumo'!#REF!</definedName>
    <definedName name="_Toc66241043_8_1_4" localSheetId="7">'[1]3-Material de consumo'!#REF!</definedName>
    <definedName name="_Toc66241043_8_1_4">'[1]3-Material de consumo'!#REF!</definedName>
    <definedName name="_Toc66241043_8_4" localSheetId="3">'[1]3-Material de consumo'!#REF!</definedName>
    <definedName name="_Toc66241043_8_4" localSheetId="7">'[1]3-Material de consumo'!#REF!</definedName>
    <definedName name="_Toc66241043_8_4">'[1]3-Material de consumo'!#REF!</definedName>
    <definedName name="_Toc66241043_8_6" localSheetId="3">'[1]3-Material de consumo'!#REF!</definedName>
    <definedName name="_Toc66241043_8_6" localSheetId="7">'[1]3-Material de consumo'!#REF!</definedName>
    <definedName name="_Toc66241043_8_6">'[1]3-Material de consumo'!#REF!</definedName>
    <definedName name="_Toc66241043_8_6_4" localSheetId="3">'[1]3-Material de consumo'!#REF!</definedName>
    <definedName name="_Toc66241043_8_6_4" localSheetId="7">'[1]3-Material de consumo'!#REF!</definedName>
    <definedName name="_Toc66241043_8_6_4">'[1]3-Material de consumo'!#REF!</definedName>
    <definedName name="_tub10012" localSheetId="3">#REF!</definedName>
    <definedName name="_tub10012" localSheetId="7">#REF!</definedName>
    <definedName name="_tub10012">#REF!</definedName>
    <definedName name="_tub10015" localSheetId="3">#REF!</definedName>
    <definedName name="_tub10015" localSheetId="7">#REF!</definedName>
    <definedName name="_tub10015">#REF!</definedName>
    <definedName name="_tub10020" localSheetId="3">#REF!</definedName>
    <definedName name="_tub10020" localSheetId="7">#REF!</definedName>
    <definedName name="_tub10020">#REF!</definedName>
    <definedName name="_tub15012" localSheetId="3">#REF!</definedName>
    <definedName name="_tub15012" localSheetId="7">#REF!</definedName>
    <definedName name="_tub15012">#REF!</definedName>
    <definedName name="_tub4012" localSheetId="3">#REF!</definedName>
    <definedName name="_tub4012" localSheetId="7">#REF!</definedName>
    <definedName name="_tub4012">#REF!</definedName>
    <definedName name="_tub4015" localSheetId="3">#REF!</definedName>
    <definedName name="_tub4015" localSheetId="7">#REF!</definedName>
    <definedName name="_tub4015">#REF!</definedName>
    <definedName name="_tub4020" localSheetId="3">#REF!</definedName>
    <definedName name="_tub4020" localSheetId="7">#REF!</definedName>
    <definedName name="_tub4020">#REF!</definedName>
    <definedName name="_tub5012" localSheetId="3">#REF!</definedName>
    <definedName name="_tub5012" localSheetId="7">#REF!</definedName>
    <definedName name="_tub5012">#REF!</definedName>
    <definedName name="_tub5015" localSheetId="3">#REF!</definedName>
    <definedName name="_tub5015" localSheetId="7">#REF!</definedName>
    <definedName name="_tub5015">#REF!</definedName>
    <definedName name="_tub5020" localSheetId="3">#REF!</definedName>
    <definedName name="_tub5020" localSheetId="7">#REF!</definedName>
    <definedName name="_tub5020">#REF!</definedName>
    <definedName name="_tub7512" localSheetId="3">#REF!</definedName>
    <definedName name="_tub7512" localSheetId="7">#REF!</definedName>
    <definedName name="_tub7512">#REF!</definedName>
    <definedName name="_tub7515" localSheetId="3">#REF!</definedName>
    <definedName name="_tub7515" localSheetId="7">#REF!</definedName>
    <definedName name="_tub7515">#REF!</definedName>
    <definedName name="_tub7520" localSheetId="3">#REF!</definedName>
    <definedName name="_tub7520" localSheetId="7">#REF!</definedName>
    <definedName name="_tub7520">#REF!</definedName>
    <definedName name="a" localSheetId="3">#REF!</definedName>
    <definedName name="a" localSheetId="7">#REF!</definedName>
    <definedName name="a">#REF!</definedName>
    <definedName name="a_1" localSheetId="3">#REF!</definedName>
    <definedName name="a_1" localSheetId="7">#REF!</definedName>
    <definedName name="a_1">#REF!</definedName>
    <definedName name="a_1_4" localSheetId="3">#REF!</definedName>
    <definedName name="a_1_4" localSheetId="7">#REF!</definedName>
    <definedName name="a_1_4">#REF!</definedName>
    <definedName name="a_4" localSheetId="3">#REF!</definedName>
    <definedName name="a_4" localSheetId="7">#REF!</definedName>
    <definedName name="a_4">#REF!</definedName>
    <definedName name="a_6" localSheetId="3">#REF!</definedName>
    <definedName name="a_6" localSheetId="7">#REF!</definedName>
    <definedName name="a_6">#REF!</definedName>
    <definedName name="a_6_4" localSheetId="3">#REF!</definedName>
    <definedName name="a_6_4" localSheetId="7">#REF!</definedName>
    <definedName name="a_6_4">#REF!</definedName>
    <definedName name="acl" localSheetId="3">#REF!</definedName>
    <definedName name="acl" localSheetId="7">#REF!</definedName>
    <definedName name="acl">#REF!</definedName>
    <definedName name="aço" localSheetId="3">#REF!</definedName>
    <definedName name="aço" localSheetId="7">#REF!</definedName>
    <definedName name="aço">#REF!</definedName>
    <definedName name="ade" localSheetId="3">#REF!</definedName>
    <definedName name="ade" localSheetId="7">#REF!</definedName>
    <definedName name="ade">#REF!</definedName>
    <definedName name="adtimp" localSheetId="3">#REF!</definedName>
    <definedName name="adtimp" localSheetId="7">#REF!</definedName>
    <definedName name="adtimp">#REF!</definedName>
    <definedName name="afi" localSheetId="3">#REF!</definedName>
    <definedName name="afi" localSheetId="7">#REF!</definedName>
    <definedName name="afi">#REF!</definedName>
    <definedName name="afp" localSheetId="3">#REF!</definedName>
    <definedName name="afp" localSheetId="7">#REF!</definedName>
    <definedName name="afp">#REF!</definedName>
    <definedName name="agr" localSheetId="3">#REF!</definedName>
    <definedName name="agr" localSheetId="7">#REF!</definedName>
    <definedName name="agr">#REF!</definedName>
    <definedName name="ALAG2007" localSheetId="3">#REF!</definedName>
    <definedName name="ALAG2007" localSheetId="7">#REF!</definedName>
    <definedName name="ALAG2007">#REF!</definedName>
    <definedName name="ALAG2008" localSheetId="3">#REF!</definedName>
    <definedName name="ALAG2008" localSheetId="7">#REF!</definedName>
    <definedName name="ALAG2008">#REF!</definedName>
    <definedName name="ALAG2009" localSheetId="3">#REF!</definedName>
    <definedName name="ALAG2009" localSheetId="7">#REF!</definedName>
    <definedName name="ALAG2009">#REF!</definedName>
    <definedName name="ALAG2010" localSheetId="3">#REF!</definedName>
    <definedName name="ALAG2010" localSheetId="7">#REF!</definedName>
    <definedName name="ALAG2010">#REF!</definedName>
    <definedName name="amc" localSheetId="3">#REF!</definedName>
    <definedName name="amc" localSheetId="7">#REF!</definedName>
    <definedName name="amc">#REF!</definedName>
    <definedName name="amd" localSheetId="3">#REF!</definedName>
    <definedName name="amd" localSheetId="7">#REF!</definedName>
    <definedName name="amd">#REF!</definedName>
    <definedName name="ame" localSheetId="3">#REF!</definedName>
    <definedName name="ame" localSheetId="7">#REF!</definedName>
    <definedName name="ame">#REF!</definedName>
    <definedName name="amm" localSheetId="3">#REF!</definedName>
    <definedName name="amm" localSheetId="7">#REF!</definedName>
    <definedName name="amm">#REF!</definedName>
    <definedName name="AmorEscri" localSheetId="3">[2]EquiA!#REF!</definedName>
    <definedName name="AmorEscri" localSheetId="7">[2]EquiA!#REF!</definedName>
    <definedName name="AmorEscri">[2]EquiA!#REF!</definedName>
    <definedName name="AmorEscri_1" localSheetId="3">[2]EquiA!#REF!</definedName>
    <definedName name="AmorEscri_1" localSheetId="7">[2]EquiA!#REF!</definedName>
    <definedName name="AmorEscri_1">[2]EquiA!#REF!</definedName>
    <definedName name="AmorEscri_1_4" localSheetId="3">[2]EquiA!#REF!</definedName>
    <definedName name="AmorEscri_1_4" localSheetId="7">[2]EquiA!#REF!</definedName>
    <definedName name="AmorEscri_1_4">[2]EquiA!#REF!</definedName>
    <definedName name="AmorEscri_4" localSheetId="3">[2]EquiA!#REF!</definedName>
    <definedName name="AmorEscri_4" localSheetId="7">[2]EquiA!#REF!</definedName>
    <definedName name="AmorEscri_4">[2]EquiA!#REF!</definedName>
    <definedName name="AmorEscri_6" localSheetId="3">[2]EquiA!#REF!</definedName>
    <definedName name="AmorEscri_6" localSheetId="7">[2]EquiA!#REF!</definedName>
    <definedName name="AmorEscri_6">[2]EquiA!#REF!</definedName>
    <definedName name="AmorEscri_6_4" localSheetId="3">[2]EquiA!#REF!</definedName>
    <definedName name="AmorEscri_6_4" localSheetId="7">[2]EquiA!#REF!</definedName>
    <definedName name="AmorEscri_6_4">[2]EquiA!#REF!</definedName>
    <definedName name="AmorVei" localSheetId="3">[2]EquiA!#REF!</definedName>
    <definedName name="AmorVei" localSheetId="7">[2]EquiA!#REF!</definedName>
    <definedName name="AmorVei">[2]EquiA!#REF!</definedName>
    <definedName name="AmorVei_1" localSheetId="3">[2]EquiA!#REF!</definedName>
    <definedName name="AmorVei_1" localSheetId="7">[2]EquiA!#REF!</definedName>
    <definedName name="AmorVei_1">[2]EquiA!#REF!</definedName>
    <definedName name="AmorVei_1_4" localSheetId="3">[2]EquiA!#REF!</definedName>
    <definedName name="AmorVei_1_4" localSheetId="7">[2]EquiA!#REF!</definedName>
    <definedName name="AmorVei_1_4">[2]EquiA!#REF!</definedName>
    <definedName name="AmorVei_4" localSheetId="3">[2]EquiA!#REF!</definedName>
    <definedName name="AmorVei_4" localSheetId="7">[2]EquiA!#REF!</definedName>
    <definedName name="AmorVei_4">[2]EquiA!#REF!</definedName>
    <definedName name="AmorVei_6" localSheetId="3">[2]EquiA!#REF!</definedName>
    <definedName name="AmorVei_6" localSheetId="7">[2]EquiA!#REF!</definedName>
    <definedName name="AmorVei_6">[2]EquiA!#REF!</definedName>
    <definedName name="AmorVei_6_4" localSheetId="3">[2]EquiA!#REF!</definedName>
    <definedName name="AmorVei_6_4" localSheetId="7">[2]EquiA!#REF!</definedName>
    <definedName name="AmorVei_6_4">[2]EquiA!#REF!</definedName>
    <definedName name="anb" localSheetId="3">#REF!</definedName>
    <definedName name="anb" localSheetId="7">#REF!</definedName>
    <definedName name="anb">#REF!</definedName>
    <definedName name="apc" localSheetId="3">#REF!</definedName>
    <definedName name="apc" localSheetId="7">#REF!</definedName>
    <definedName name="apc">#REF!</definedName>
    <definedName name="apc_8">NA()</definedName>
    <definedName name="apmfs" localSheetId="3">#REF!</definedName>
    <definedName name="apmfs" localSheetId="7">#REF!</definedName>
    <definedName name="apmfs">#REF!</definedName>
    <definedName name="are" localSheetId="3">#REF!</definedName>
    <definedName name="are" localSheetId="7">#REF!</definedName>
    <definedName name="are">#REF!</definedName>
    <definedName name="_xlnm.Print_Area" localSheetId="0">CAPA!$A$1:$J$44</definedName>
    <definedName name="_xlnm.Print_Area" localSheetId="3">CRONOGRAMA!$A$1:$I$40</definedName>
    <definedName name="_xlnm.Print_Area" localSheetId="8">DMT!$A$1:$AW$25</definedName>
    <definedName name="_xlnm.Print_Area" localSheetId="4">MEMÓRIA!$A$1:$M$331</definedName>
    <definedName name="_xlnm.Print_Area" localSheetId="2">ORÇAMENTO!$A$1:$M$196</definedName>
    <definedName name="_xlnm.Print_Area" localSheetId="1">RESUMO!$A$1:$D$43</definedName>
    <definedName name="_xlnm.Print_Area" localSheetId="7">TRANSP.MAT.BET.REAJ.!$A$1:$X$20</definedName>
    <definedName name="_xlnm.Print_Area" localSheetId="6">TRANSPORTES!$A$1:$L$251</definedName>
    <definedName name="B320I" localSheetId="3">#REF!</definedName>
    <definedName name="B320I" localSheetId="7">#REF!</definedName>
    <definedName name="B320I">#REF!</definedName>
    <definedName name="B320P" localSheetId="3">#REF!</definedName>
    <definedName name="B320P" localSheetId="7">#REF!</definedName>
    <definedName name="B320P">#REF!</definedName>
    <definedName name="B500I" localSheetId="3">#REF!</definedName>
    <definedName name="B500I" localSheetId="7">#REF!</definedName>
    <definedName name="B500I">#REF!</definedName>
    <definedName name="B500P" localSheetId="3">#REF!</definedName>
    <definedName name="B500P" localSheetId="7">#REF!</definedName>
    <definedName name="B500P">#REF!</definedName>
    <definedName name="bcc10.10" localSheetId="3">#REF!</definedName>
    <definedName name="bcc10.10" localSheetId="7">#REF!</definedName>
    <definedName name="bcc10.10">#REF!</definedName>
    <definedName name="bcc10.20" localSheetId="3">#REF!</definedName>
    <definedName name="bcc10.20" localSheetId="7">#REF!</definedName>
    <definedName name="bcc10.20">#REF!</definedName>
    <definedName name="bcc10_10" localSheetId="3">#REF!</definedName>
    <definedName name="bcc10_10" localSheetId="7">#REF!</definedName>
    <definedName name="bcc10_10">#REF!</definedName>
    <definedName name="bcc10_20" localSheetId="3">#REF!</definedName>
    <definedName name="bcc10_20" localSheetId="7">#REF!</definedName>
    <definedName name="bcc10_20">#REF!</definedName>
    <definedName name="bcc4.5" localSheetId="3">#REF!</definedName>
    <definedName name="bcc4.5" localSheetId="7">#REF!</definedName>
    <definedName name="bcc4.5">#REF!</definedName>
    <definedName name="bcc4_5" localSheetId="3">#REF!</definedName>
    <definedName name="bcc4_5" localSheetId="7">#REF!</definedName>
    <definedName name="bcc4_5">#REF!</definedName>
    <definedName name="bcc5.10" localSheetId="3">#REF!</definedName>
    <definedName name="bcc5.10" localSheetId="7">#REF!</definedName>
    <definedName name="bcc5.10">#REF!</definedName>
    <definedName name="bcc5.15" localSheetId="3">#REF!</definedName>
    <definedName name="bcc5.15" localSheetId="7">#REF!</definedName>
    <definedName name="bcc5.15">#REF!</definedName>
    <definedName name="bcc5.20" localSheetId="3">#REF!</definedName>
    <definedName name="bcc5.20" localSheetId="7">#REF!</definedName>
    <definedName name="bcc5.20">#REF!</definedName>
    <definedName name="bcc5.5" localSheetId="3">#REF!</definedName>
    <definedName name="bcc5.5" localSheetId="7">#REF!</definedName>
    <definedName name="bcc5.5">#REF!</definedName>
    <definedName name="bcc5_10" localSheetId="3">#REF!</definedName>
    <definedName name="bcc5_10" localSheetId="7">#REF!</definedName>
    <definedName name="bcc5_10">#REF!</definedName>
    <definedName name="bcc5_15" localSheetId="3">#REF!</definedName>
    <definedName name="bcc5_15" localSheetId="7">#REF!</definedName>
    <definedName name="bcc5_15">#REF!</definedName>
    <definedName name="bcc5_20" localSheetId="3">#REF!</definedName>
    <definedName name="bcc5_20" localSheetId="7">#REF!</definedName>
    <definedName name="bcc5_20">#REF!</definedName>
    <definedName name="bcc5_5" localSheetId="3">#REF!</definedName>
    <definedName name="bcc5_5" localSheetId="7">#REF!</definedName>
    <definedName name="bcc5_5">#REF!</definedName>
    <definedName name="bcc6.10" localSheetId="3">#REF!</definedName>
    <definedName name="bcc6.10" localSheetId="7">#REF!</definedName>
    <definedName name="bcc6.10">#REF!</definedName>
    <definedName name="bcc6.15" localSheetId="3">#REF!</definedName>
    <definedName name="bcc6.15" localSheetId="7">#REF!</definedName>
    <definedName name="bcc6.15">#REF!</definedName>
    <definedName name="bcc6.20" localSheetId="3">#REF!</definedName>
    <definedName name="bcc6.20" localSheetId="7">#REF!</definedName>
    <definedName name="bcc6.20">#REF!</definedName>
    <definedName name="bcc6.5" localSheetId="3">#REF!</definedName>
    <definedName name="bcc6.5" localSheetId="7">#REF!</definedName>
    <definedName name="bcc6.5">#REF!</definedName>
    <definedName name="bcc6_10" localSheetId="3">#REF!</definedName>
    <definedName name="bcc6_10" localSheetId="7">#REF!</definedName>
    <definedName name="bcc6_10">#REF!</definedName>
    <definedName name="bcc6_15" localSheetId="3">#REF!</definedName>
    <definedName name="bcc6_15" localSheetId="7">#REF!</definedName>
    <definedName name="bcc6_15">#REF!</definedName>
    <definedName name="bcc6_20" localSheetId="3">#REF!</definedName>
    <definedName name="bcc6_20" localSheetId="7">#REF!</definedName>
    <definedName name="bcc6_20">#REF!</definedName>
    <definedName name="bcc6_5" localSheetId="3">#REF!</definedName>
    <definedName name="bcc6_5" localSheetId="7">#REF!</definedName>
    <definedName name="bcc6_5">#REF!</definedName>
    <definedName name="bcc8.10" localSheetId="3">#REF!</definedName>
    <definedName name="bcc8.10" localSheetId="7">#REF!</definedName>
    <definedName name="bcc8.10">#REF!</definedName>
    <definedName name="bcc8.15" localSheetId="3">#REF!</definedName>
    <definedName name="bcc8.15" localSheetId="7">#REF!</definedName>
    <definedName name="bcc8.15">#REF!</definedName>
    <definedName name="bcc8.20" localSheetId="3">#REF!</definedName>
    <definedName name="bcc8.20" localSheetId="7">#REF!</definedName>
    <definedName name="bcc8.20">#REF!</definedName>
    <definedName name="bcc8.5" localSheetId="3">#REF!</definedName>
    <definedName name="bcc8.5" localSheetId="7">#REF!</definedName>
    <definedName name="bcc8.5">#REF!</definedName>
    <definedName name="bcc8_10" localSheetId="3">#REF!</definedName>
    <definedName name="bcc8_10" localSheetId="7">#REF!</definedName>
    <definedName name="bcc8_10">#REF!</definedName>
    <definedName name="bcc8_15" localSheetId="3">#REF!</definedName>
    <definedName name="bcc8_15" localSheetId="7">#REF!</definedName>
    <definedName name="bcc8_15">#REF!</definedName>
    <definedName name="bcc8_20" localSheetId="3">#REF!</definedName>
    <definedName name="bcc8_20" localSheetId="7">#REF!</definedName>
    <definedName name="bcc8_20">#REF!</definedName>
    <definedName name="bcc8_5" localSheetId="3">#REF!</definedName>
    <definedName name="bcc8_5" localSheetId="7">#REF!</definedName>
    <definedName name="bcc8_5">#REF!</definedName>
    <definedName name="bcf" localSheetId="3">#REF!</definedName>
    <definedName name="bcf" localSheetId="7">#REF!</definedName>
    <definedName name="bcf">#REF!</definedName>
    <definedName name="bcp" localSheetId="3">#REF!</definedName>
    <definedName name="bcp" localSheetId="7">#REF!</definedName>
    <definedName name="bcp">#REF!</definedName>
    <definedName name="BDI" localSheetId="3">#REF!</definedName>
    <definedName name="BDI" localSheetId="7">#REF!</definedName>
    <definedName name="BDI">#REF!</definedName>
    <definedName name="BDIE">[3]Insumos!$D$5</definedName>
    <definedName name="bet" localSheetId="3">#REF!</definedName>
    <definedName name="bet" localSheetId="7">#REF!</definedName>
    <definedName name="bet">#REF!</definedName>
    <definedName name="biro" localSheetId="3">[2]PessA!#REF!</definedName>
    <definedName name="biro" localSheetId="7">[2]PessA!#REF!</definedName>
    <definedName name="biro">[2]PessA!#REF!</definedName>
    <definedName name="biro_1" localSheetId="3">[2]PessA!#REF!</definedName>
    <definedName name="biro_1" localSheetId="7">[2]PessA!#REF!</definedName>
    <definedName name="biro_1">[2]PessA!#REF!</definedName>
    <definedName name="biro_1_4" localSheetId="3">[2]PessA!#REF!</definedName>
    <definedName name="biro_1_4" localSheetId="7">[2]PessA!#REF!</definedName>
    <definedName name="biro_1_4">[2]PessA!#REF!</definedName>
    <definedName name="biro_4" localSheetId="3">[2]PessA!#REF!</definedName>
    <definedName name="biro_4" localSheetId="7">[2]PessA!#REF!</definedName>
    <definedName name="biro_4">[2]PessA!#REF!</definedName>
    <definedName name="biro_6" localSheetId="3">[2]PessA!#REF!</definedName>
    <definedName name="biro_6" localSheetId="7">[2]PessA!#REF!</definedName>
    <definedName name="biro_6">[2]PessA!#REF!</definedName>
    <definedName name="biro_6_4" localSheetId="3">[2]PessA!#REF!</definedName>
    <definedName name="biro_6_4" localSheetId="7">[2]PessA!#REF!</definedName>
    <definedName name="biro_6_4">[2]PessA!#REF!</definedName>
    <definedName name="bomp2" localSheetId="3">#REF!</definedName>
    <definedName name="bomp2" localSheetId="7">#REF!</definedName>
    <definedName name="bomp2">#REF!</definedName>
    <definedName name="BPF" localSheetId="3">#REF!</definedName>
    <definedName name="BPF" localSheetId="7">#REF!</definedName>
    <definedName name="BPF">#REF!</definedName>
    <definedName name="CA">'[4]Composição auxiliar'!$A$1:$M$65536</definedName>
    <definedName name="CA15I" localSheetId="3">#REF!</definedName>
    <definedName name="CA15I" localSheetId="7">#REF!</definedName>
    <definedName name="CA15I">#REF!</definedName>
    <definedName name="CA15P" localSheetId="3">#REF!</definedName>
    <definedName name="CA15P" localSheetId="7">#REF!</definedName>
    <definedName name="CA15P">#REF!</definedName>
    <definedName name="CA25I" localSheetId="3">#REF!</definedName>
    <definedName name="CA25I" localSheetId="7">#REF!</definedName>
    <definedName name="CA25I">#REF!</definedName>
    <definedName name="CA25P" localSheetId="3">#REF!</definedName>
    <definedName name="CA25P" localSheetId="7">#REF!</definedName>
    <definedName name="CA25P">#REF!</definedName>
    <definedName name="caba1_0" localSheetId="3">#REF!</definedName>
    <definedName name="caba1_0" localSheetId="7">#REF!</definedName>
    <definedName name="caba1_0">#REF!</definedName>
    <definedName name="caba1_0_8">NA()</definedName>
    <definedName name="caba4" localSheetId="3">#REF!</definedName>
    <definedName name="caba4" localSheetId="7">#REF!</definedName>
    <definedName name="caba4">#REF!</definedName>
    <definedName name="caba4_8">NA()</definedName>
    <definedName name="cal" localSheetId="3">#REF!</definedName>
    <definedName name="cal" localSheetId="7">#REF!</definedName>
    <definedName name="cal">#REF!</definedName>
    <definedName name="calpi" localSheetId="3">#REF!</definedName>
    <definedName name="calpi" localSheetId="7">#REF!</definedName>
    <definedName name="calpi">#REF!</definedName>
    <definedName name="camp" localSheetId="3">#REF!</definedName>
    <definedName name="camp" localSheetId="7">#REF!</definedName>
    <definedName name="camp">#REF!</definedName>
    <definedName name="CB10I" localSheetId="3">#REF!</definedName>
    <definedName name="CB10I" localSheetId="7">#REF!</definedName>
    <definedName name="CB10I">#REF!</definedName>
    <definedName name="CB10P" localSheetId="3">#REF!</definedName>
    <definedName name="CB10P" localSheetId="7">#REF!</definedName>
    <definedName name="CB10P">#REF!</definedName>
    <definedName name="CB4I" localSheetId="3">#REF!</definedName>
    <definedName name="CB4I" localSheetId="7">#REF!</definedName>
    <definedName name="CB4I">#REF!</definedName>
    <definedName name="CB4P" localSheetId="3">#REF!</definedName>
    <definedName name="CB4P" localSheetId="7">#REF!</definedName>
    <definedName name="CB4P">#REF!</definedName>
    <definedName name="CB6.5I" localSheetId="3">#REF!</definedName>
    <definedName name="CB6.5I" localSheetId="7">#REF!</definedName>
    <definedName name="CB6.5I">#REF!</definedName>
    <definedName name="CB6.5P" localSheetId="3">#REF!</definedName>
    <definedName name="CB6.5P" localSheetId="7">#REF!</definedName>
    <definedName name="CB6.5P">#REF!</definedName>
    <definedName name="CB6_5I" localSheetId="3">#REF!</definedName>
    <definedName name="CB6_5I" localSheetId="7">#REF!</definedName>
    <definedName name="CB6_5I">#REF!</definedName>
    <definedName name="CB6_5P" localSheetId="3">#REF!</definedName>
    <definedName name="CB6_5P" localSheetId="7">#REF!</definedName>
    <definedName name="CB6_5P">#REF!</definedName>
    <definedName name="CB6I" localSheetId="3">#REF!</definedName>
    <definedName name="CB6I" localSheetId="7">#REF!</definedName>
    <definedName name="CB6I">#REF!</definedName>
    <definedName name="CB6P" localSheetId="3">#REF!</definedName>
    <definedName name="CB6P" localSheetId="7">#REF!</definedName>
    <definedName name="CB6P">#REF!</definedName>
    <definedName name="cbas" localSheetId="3">#REF!</definedName>
    <definedName name="cbas" localSheetId="7">#REF!</definedName>
    <definedName name="cbas">#REF!</definedName>
    <definedName name="ccp" localSheetId="3">#REF!</definedName>
    <definedName name="ccp" localSheetId="7">#REF!</definedName>
    <definedName name="ccp">#REF!</definedName>
    <definedName name="cds" localSheetId="3">#REF!</definedName>
    <definedName name="cds" localSheetId="7">#REF!</definedName>
    <definedName name="cds">#REF!</definedName>
    <definedName name="cec20x20" localSheetId="3">#REF!</definedName>
    <definedName name="cec20x20" localSheetId="7">#REF!</definedName>
    <definedName name="cec20x20">#REF!</definedName>
    <definedName name="cer1_2" localSheetId="3">#REF!</definedName>
    <definedName name="cer1_2" localSheetId="7">#REF!</definedName>
    <definedName name="cer1_2">#REF!</definedName>
    <definedName name="chaf" localSheetId="3">#REF!</definedName>
    <definedName name="chaf" localSheetId="7">#REF!</definedName>
    <definedName name="chaf">#REF!</definedName>
    <definedName name="cib" localSheetId="3">#REF!</definedName>
    <definedName name="cib" localSheetId="7">#REF!</definedName>
    <definedName name="cib">#REF!</definedName>
    <definedName name="cim" localSheetId="3">#REF!</definedName>
    <definedName name="cim" localSheetId="7">#REF!</definedName>
    <definedName name="cim">#REF!</definedName>
    <definedName name="cim_5" localSheetId="3">#REF!</definedName>
    <definedName name="cim_5" localSheetId="7">#REF!</definedName>
    <definedName name="cim_5">#REF!</definedName>
    <definedName name="clp" localSheetId="3">#REF!</definedName>
    <definedName name="clp" localSheetId="7">#REF!</definedName>
    <definedName name="clp">#REF!</definedName>
    <definedName name="clr1_2" localSheetId="3">#REF!</definedName>
    <definedName name="clr1_2" localSheetId="7">#REF!</definedName>
    <definedName name="clr1_2">#REF!</definedName>
    <definedName name="CM9I" localSheetId="3">#REF!</definedName>
    <definedName name="CM9I" localSheetId="7">#REF!</definedName>
    <definedName name="CM9I">#REF!</definedName>
    <definedName name="CM9P" localSheetId="3">#REF!</definedName>
    <definedName name="CM9P" localSheetId="7">#REF!</definedName>
    <definedName name="CM9P">#REF!</definedName>
    <definedName name="comp" localSheetId="3">#REF!</definedName>
    <definedName name="comp" localSheetId="7">#REF!</definedName>
    <definedName name="comp">#REF!</definedName>
    <definedName name="CPA" localSheetId="3">#REF!</definedName>
    <definedName name="CPA" localSheetId="7">#REF!</definedName>
    <definedName name="CPA">#REF!</definedName>
    <definedName name="CPAF" localSheetId="3">#REF!</definedName>
    <definedName name="CPAF" localSheetId="7">#REF!</definedName>
    <definedName name="CPAF">#REF!</definedName>
    <definedName name="_xlnm.Criteria">[5]BDI!$G$10:$G$15</definedName>
    <definedName name="ctfa4" localSheetId="3">#REF!</definedName>
    <definedName name="ctfa4" localSheetId="7">#REF!</definedName>
    <definedName name="ctfa4">#REF!</definedName>
    <definedName name="ctpvc" localSheetId="3">#REF!</definedName>
    <definedName name="ctpvc" localSheetId="7">#REF!</definedName>
    <definedName name="ctpvc">#REF!</definedName>
    <definedName name="cumeeira" localSheetId="3">#REF!</definedName>
    <definedName name="cumeeira" localSheetId="7">#REF!</definedName>
    <definedName name="cumeeira">#REF!</definedName>
    <definedName name="cumeira" localSheetId="3">#REF!</definedName>
    <definedName name="cumeira" localSheetId="7">#REF!</definedName>
    <definedName name="cumeira">#REF!</definedName>
    <definedName name="cxp4x2" localSheetId="3">#REF!</definedName>
    <definedName name="cxp4x2" localSheetId="7">#REF!</definedName>
    <definedName name="cxp4x2">#REF!</definedName>
    <definedName name="D6I" localSheetId="3">#REF!</definedName>
    <definedName name="D6I" localSheetId="7">#REF!</definedName>
    <definedName name="D6I">#REF!</definedName>
    <definedName name="D6P" localSheetId="3">#REF!</definedName>
    <definedName name="D6P" localSheetId="7">#REF!</definedName>
    <definedName name="D6P">#REF!</definedName>
    <definedName name="D8I" localSheetId="3">#REF!</definedName>
    <definedName name="D8I" localSheetId="7">#REF!</definedName>
    <definedName name="D8I">#REF!</definedName>
    <definedName name="D8P" localSheetId="3">#REF!</definedName>
    <definedName name="D8P" localSheetId="7">#REF!</definedName>
    <definedName name="D8P">#REF!</definedName>
    <definedName name="DAT">NA()</definedName>
    <definedName name="DAT_8">NA()</definedName>
    <definedName name="desm" localSheetId="3">#REF!</definedName>
    <definedName name="desm" localSheetId="7">#REF!</definedName>
    <definedName name="desm">#REF!</definedName>
    <definedName name="DespGer" localSheetId="3">[2]Tel!#REF!</definedName>
    <definedName name="DespGer" localSheetId="7">[2]Tel!#REF!</definedName>
    <definedName name="DespGer">[2]Tel!#REF!</definedName>
    <definedName name="DespGer_1" localSheetId="3">[2]Tel!#REF!</definedName>
    <definedName name="DespGer_1" localSheetId="7">[2]Tel!#REF!</definedName>
    <definedName name="DespGer_1">[2]Tel!#REF!</definedName>
    <definedName name="DespGer_1_4" localSheetId="3">[2]Tel!#REF!</definedName>
    <definedName name="DespGer_1_4" localSheetId="7">[2]Tel!#REF!</definedName>
    <definedName name="DespGer_1_4">[2]Tel!#REF!</definedName>
    <definedName name="DespGer_4" localSheetId="3">[2]Tel!#REF!</definedName>
    <definedName name="DespGer_4" localSheetId="7">[2]Tel!#REF!</definedName>
    <definedName name="DespGer_4">[2]Tel!#REF!</definedName>
    <definedName name="DespGer_6" localSheetId="3">[2]Tel!#REF!</definedName>
    <definedName name="DespGer_6" localSheetId="7">[2]Tel!#REF!</definedName>
    <definedName name="DespGer_6">[2]Tel!#REF!</definedName>
    <definedName name="DespGer_6_4" localSheetId="3">[2]Tel!#REF!</definedName>
    <definedName name="DespGer_6_4" localSheetId="7">[2]Tel!#REF!</definedName>
    <definedName name="DespGer_6_4">[2]Tel!#REF!</definedName>
    <definedName name="DIE" localSheetId="3">#REF!</definedName>
    <definedName name="DIE" localSheetId="7">#REF!</definedName>
    <definedName name="DIE">#REF!</definedName>
    <definedName name="DIF" localSheetId="3">#REF!</definedName>
    <definedName name="DIF" localSheetId="7">#REF!</definedName>
    <definedName name="DIF">#REF!</definedName>
    <definedName name="DIF_2" localSheetId="3">#REF!</definedName>
    <definedName name="DIF_2" localSheetId="7">#REF!</definedName>
    <definedName name="DIF_2">#REF!</definedName>
    <definedName name="DistMed" localSheetId="3">[2]CombLub!#REF!</definedName>
    <definedName name="DistMed" localSheetId="7">[2]CombLub!#REF!</definedName>
    <definedName name="DistMed">[2]CombLub!#REF!</definedName>
    <definedName name="DistMed_1" localSheetId="3">[2]CombLub!#REF!</definedName>
    <definedName name="DistMed_1" localSheetId="7">[2]CombLub!#REF!</definedName>
    <definedName name="DistMed_1">[2]CombLub!#REF!</definedName>
    <definedName name="DistMed_1_4" localSheetId="3">[2]CombLub!#REF!</definedName>
    <definedName name="DistMed_1_4" localSheetId="7">[2]CombLub!#REF!</definedName>
    <definedName name="DistMed_1_4">[2]CombLub!#REF!</definedName>
    <definedName name="DistMed_4" localSheetId="3">[2]CombLub!#REF!</definedName>
    <definedName name="DistMed_4" localSheetId="7">[2]CombLub!#REF!</definedName>
    <definedName name="DistMed_4">[2]CombLub!#REF!</definedName>
    <definedName name="DistMed_6" localSheetId="3">[2]CombLub!#REF!</definedName>
    <definedName name="DistMed_6" localSheetId="7">[2]CombLub!#REF!</definedName>
    <definedName name="DistMed_6">[2]CombLub!#REF!</definedName>
    <definedName name="DistMed_6_4" localSheetId="3">[2]CombLub!#REF!</definedName>
    <definedName name="DistMed_6_4" localSheetId="7">[2]CombLub!#REF!</definedName>
    <definedName name="DistMed_6_4">[2]CombLub!#REF!</definedName>
    <definedName name="DistMedMP" localSheetId="3">[2]CombLub!#REF!</definedName>
    <definedName name="DistMedMP" localSheetId="7">[2]CombLub!#REF!</definedName>
    <definedName name="DistMedMP">[2]CombLub!#REF!</definedName>
    <definedName name="DistMedMP_1" localSheetId="3">[2]CombLub!#REF!</definedName>
    <definedName name="DistMedMP_1" localSheetId="7">[2]CombLub!#REF!</definedName>
    <definedName name="DistMedMP_1">[2]CombLub!#REF!</definedName>
    <definedName name="DistMedMP_1_4" localSheetId="3">[2]CombLub!#REF!</definedName>
    <definedName name="DistMedMP_1_4" localSheetId="7">[2]CombLub!#REF!</definedName>
    <definedName name="DistMedMP_1_4">[2]CombLub!#REF!</definedName>
    <definedName name="DistMedMP_4" localSheetId="3">[2]CombLub!#REF!</definedName>
    <definedName name="DistMedMP_4" localSheetId="7">[2]CombLub!#REF!</definedName>
    <definedName name="DistMedMP_4">[2]CombLub!#REF!</definedName>
    <definedName name="DistMedMP_6" localSheetId="3">[2]CombLub!#REF!</definedName>
    <definedName name="DistMedMP_6" localSheetId="7">[2]CombLub!#REF!</definedName>
    <definedName name="DistMedMP_6">[2]CombLub!#REF!</definedName>
    <definedName name="DistMedMP_6_4" localSheetId="3">[2]CombLub!#REF!</definedName>
    <definedName name="DistMedMP_6_4" localSheetId="7">[2]CombLub!#REF!</definedName>
    <definedName name="DistMedMP_6_4">[2]CombLub!#REF!</definedName>
    <definedName name="DKM" localSheetId="3">#REF!</definedName>
    <definedName name="DKM" localSheetId="7">#REF!</definedName>
    <definedName name="DKM">#REF!</definedName>
    <definedName name="E" localSheetId="3">#REF!</definedName>
    <definedName name="E" localSheetId="7">#REF!</definedName>
    <definedName name="E">#REF!</definedName>
    <definedName name="EB" localSheetId="3">[2]CombLub!#REF!</definedName>
    <definedName name="EB" localSheetId="7">[2]CombLub!#REF!</definedName>
    <definedName name="EB">[2]CombLub!#REF!</definedName>
    <definedName name="EB_1" localSheetId="3">[2]CombLub!#REF!</definedName>
    <definedName name="EB_1" localSheetId="7">[2]CombLub!#REF!</definedName>
    <definedName name="EB_1">[2]CombLub!#REF!</definedName>
    <definedName name="EB_1_4" localSheetId="3">[2]CombLub!#REF!</definedName>
    <definedName name="EB_1_4" localSheetId="7">[2]CombLub!#REF!</definedName>
    <definedName name="EB_1_4">[2]CombLub!#REF!</definedName>
    <definedName name="EB_4" localSheetId="3">[2]CombLub!#REF!</definedName>
    <definedName name="EB_4" localSheetId="7">[2]CombLub!#REF!</definedName>
    <definedName name="EB_4">[2]CombLub!#REF!</definedName>
    <definedName name="EB_6" localSheetId="3">[2]CombLub!#REF!</definedName>
    <definedName name="EB_6" localSheetId="7">[2]CombLub!#REF!</definedName>
    <definedName name="EB_6">[2]CombLub!#REF!</definedName>
    <definedName name="EB_6_4" localSheetId="3">[2]CombLub!#REF!</definedName>
    <definedName name="EB_6_4" localSheetId="7">[2]CombLub!#REF!</definedName>
    <definedName name="EB_6_4">[2]CombLub!#REF!</definedName>
    <definedName name="eCameta" localSheetId="3">[2]EquiA!#REF!</definedName>
    <definedName name="eCameta" localSheetId="7">[2]EquiA!#REF!</definedName>
    <definedName name="eCameta">[2]EquiA!#REF!</definedName>
    <definedName name="eCameta_1" localSheetId="3">[2]EquiA!#REF!</definedName>
    <definedName name="eCameta_1" localSheetId="7">[2]EquiA!#REF!</definedName>
    <definedName name="eCameta_1">[2]EquiA!#REF!</definedName>
    <definedName name="eCameta_1_4" localSheetId="3">[2]EquiA!#REF!</definedName>
    <definedName name="eCameta_1_4" localSheetId="7">[2]EquiA!#REF!</definedName>
    <definedName name="eCameta_1_4">[2]EquiA!#REF!</definedName>
    <definedName name="eCameta_4" localSheetId="3">[2]EquiA!#REF!</definedName>
    <definedName name="eCameta_4" localSheetId="7">[2]EquiA!#REF!</definedName>
    <definedName name="eCameta_4">[2]EquiA!#REF!</definedName>
    <definedName name="eCameta_6" localSheetId="3">[2]EquiA!#REF!</definedName>
    <definedName name="eCameta_6" localSheetId="7">[2]EquiA!#REF!</definedName>
    <definedName name="eCameta_6">[2]EquiA!#REF!</definedName>
    <definedName name="eCameta_6_4" localSheetId="3">[2]EquiA!#REF!</definedName>
    <definedName name="eCameta_6_4" localSheetId="7">[2]EquiA!#REF!</definedName>
    <definedName name="eCameta_6_4">[2]EquiA!#REF!</definedName>
    <definedName name="ecm" localSheetId="3">#REF!</definedName>
    <definedName name="ecm" localSheetId="7">#REF!</definedName>
    <definedName name="ecm">#REF!</definedName>
    <definedName name="eee">NA()</definedName>
    <definedName name="ele" localSheetId="3">#REF!</definedName>
    <definedName name="ele" localSheetId="7">#REF!</definedName>
    <definedName name="ele">#REF!</definedName>
    <definedName name="elr1_2" localSheetId="3">#REF!</definedName>
    <definedName name="elr1_2" localSheetId="7">#REF!</definedName>
    <definedName name="elr1_2">#REF!</definedName>
    <definedName name="elv50x40" localSheetId="3">#REF!</definedName>
    <definedName name="elv50x40" localSheetId="7">#REF!</definedName>
    <definedName name="elv50x40">#REF!</definedName>
    <definedName name="eMoto" localSheetId="3">[2]EquiA!#REF!</definedName>
    <definedName name="eMoto" localSheetId="7">[2]EquiA!#REF!</definedName>
    <definedName name="eMoto">[2]EquiA!#REF!</definedName>
    <definedName name="eMoto_1" localSheetId="3">[2]EquiA!#REF!</definedName>
    <definedName name="eMoto_1" localSheetId="7">[2]EquiA!#REF!</definedName>
    <definedName name="eMoto_1">[2]EquiA!#REF!</definedName>
    <definedName name="eMoto_1_4" localSheetId="3">[2]EquiA!#REF!</definedName>
    <definedName name="eMoto_1_4" localSheetId="7">[2]EquiA!#REF!</definedName>
    <definedName name="eMoto_1_4">[2]EquiA!#REF!</definedName>
    <definedName name="eMoto_4" localSheetId="3">[2]EquiA!#REF!</definedName>
    <definedName name="eMoto_4" localSheetId="7">[2]EquiA!#REF!</definedName>
    <definedName name="eMoto_4">[2]EquiA!#REF!</definedName>
    <definedName name="eMoto_6" localSheetId="3">[2]EquiA!#REF!</definedName>
    <definedName name="eMoto_6" localSheetId="7">[2]EquiA!#REF!</definedName>
    <definedName name="eMoto_6">[2]EquiA!#REF!</definedName>
    <definedName name="eMoto_6_4" localSheetId="3">[2]EquiA!#REF!</definedName>
    <definedName name="eMoto_6_4" localSheetId="7">[2]EquiA!#REF!</definedName>
    <definedName name="eMoto_6_4">[2]EquiA!#REF!</definedName>
    <definedName name="enc" localSheetId="3">#REF!</definedName>
    <definedName name="enc" localSheetId="7">#REF!</definedName>
    <definedName name="enc">#REF!</definedName>
    <definedName name="ENC_5" localSheetId="3">#REF!</definedName>
    <definedName name="ENC_5" localSheetId="7">#REF!</definedName>
    <definedName name="ENC_5">#REF!</definedName>
    <definedName name="ENE" localSheetId="3">#REF!</definedName>
    <definedName name="ENE" localSheetId="7">#REF!</definedName>
    <definedName name="ENE">#REF!</definedName>
    <definedName name="EnerConsAn" localSheetId="3">#REF!</definedName>
    <definedName name="EnerConsAn" localSheetId="7">#REF!</definedName>
    <definedName name="EnerConsAn">#REF!</definedName>
    <definedName name="EnerConsAn_1" localSheetId="3">#REF!</definedName>
    <definedName name="EnerConsAn_1" localSheetId="7">#REF!</definedName>
    <definedName name="EnerConsAn_1">#REF!</definedName>
    <definedName name="EnerConsAn_1_4" localSheetId="3">#REF!</definedName>
    <definedName name="EnerConsAn_1_4" localSheetId="7">#REF!</definedName>
    <definedName name="EnerConsAn_1_4">#REF!</definedName>
    <definedName name="EnerConsAn_4" localSheetId="3">#REF!</definedName>
    <definedName name="EnerConsAn_4" localSheetId="7">#REF!</definedName>
    <definedName name="EnerConsAn_4">#REF!</definedName>
    <definedName name="EnerConsAn_6" localSheetId="3">#REF!</definedName>
    <definedName name="EnerConsAn_6" localSheetId="7">#REF!</definedName>
    <definedName name="EnerConsAn_6">#REF!</definedName>
    <definedName name="EnerConsAn_6_4" localSheetId="3">#REF!</definedName>
    <definedName name="EnerConsAn_6_4" localSheetId="7">#REF!</definedName>
    <definedName name="EnerConsAn_6_4">#REF!</definedName>
    <definedName name="EnerDemAn" localSheetId="3">#REF!</definedName>
    <definedName name="EnerDemAn" localSheetId="7">#REF!</definedName>
    <definedName name="EnerDemAn">#REF!</definedName>
    <definedName name="EnerDemAn_1" localSheetId="3">#REF!</definedName>
    <definedName name="EnerDemAn_1" localSheetId="7">#REF!</definedName>
    <definedName name="EnerDemAn_1">#REF!</definedName>
    <definedName name="EnerDemAn_1_4" localSheetId="3">#REF!</definedName>
    <definedName name="EnerDemAn_1_4" localSheetId="7">#REF!</definedName>
    <definedName name="EnerDemAn_1_4">#REF!</definedName>
    <definedName name="EnerDemAn_4" localSheetId="3">#REF!</definedName>
    <definedName name="EnerDemAn_4" localSheetId="7">#REF!</definedName>
    <definedName name="EnerDemAn_4">#REF!</definedName>
    <definedName name="EnerDemAn_6" localSheetId="3">#REF!</definedName>
    <definedName name="EnerDemAn_6" localSheetId="7">#REF!</definedName>
    <definedName name="EnerDemAn_6">#REF!</definedName>
    <definedName name="EnerDemAn_6_4" localSheetId="3">#REF!</definedName>
    <definedName name="EnerDemAn_6_4" localSheetId="7">#REF!</definedName>
    <definedName name="EnerDemAn_6_4">#REF!</definedName>
    <definedName name="epm2.5" localSheetId="3">#REF!</definedName>
    <definedName name="epm2.5" localSheetId="7">#REF!</definedName>
    <definedName name="epm2.5">#REF!</definedName>
    <definedName name="epm2_5" localSheetId="3">#REF!</definedName>
    <definedName name="epm2_5" localSheetId="7">#REF!</definedName>
    <definedName name="epm2_5">#REF!</definedName>
    <definedName name="EQ">'[4]CUSTOS UNITÁRIOS'!$C$373:$I$540</definedName>
    <definedName name="ER">NA()</definedName>
    <definedName name="esm" localSheetId="3">#REF!</definedName>
    <definedName name="esm" localSheetId="7">#REF!</definedName>
    <definedName name="esm">#REF!</definedName>
    <definedName name="est" localSheetId="3">#REF!</definedName>
    <definedName name="est" localSheetId="7">#REF!</definedName>
    <definedName name="est">#REF!</definedName>
    <definedName name="est1.5_15" localSheetId="3">#REF!</definedName>
    <definedName name="est1.5_15" localSheetId="7">#REF!</definedName>
    <definedName name="est1.5_15">#REF!</definedName>
    <definedName name="est1_5_15" localSheetId="3">#REF!</definedName>
    <definedName name="est1_5_15" localSheetId="7">#REF!</definedName>
    <definedName name="est1_5_15">#REF!</definedName>
    <definedName name="eVehLev">[6]EquiA!$B$5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 localSheetId="3">CRONOGRAMA!#REF!</definedName>
    <definedName name="Excel_BuiltIn__FilterDatabase_4" localSheetId="7">#REF!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3">#REF!</definedName>
    <definedName name="Excel_BuiltIn_Print_Area_1_1" localSheetId="7">#REF!</definedName>
    <definedName name="Excel_BuiltIn_Print_Area_1_1">#REF!</definedName>
    <definedName name="Excel_BuiltIn_Print_Area_1_1_1" localSheetId="3">#REF!</definedName>
    <definedName name="Excel_BuiltIn_Print_Area_1_1_1" localSheetId="7">#REF!</definedName>
    <definedName name="Excel_BuiltIn_Print_Area_1_1_1">#REF!</definedName>
    <definedName name="Excel_BuiltIn_Print_Area_1_1_1_4" localSheetId="3">#REF!</definedName>
    <definedName name="Excel_BuiltIn_Print_Area_1_1_1_4" localSheetId="7">#REF!</definedName>
    <definedName name="Excel_BuiltIn_Print_Area_1_1_1_4">#REF!</definedName>
    <definedName name="Excel_BuiltIn_Print_Area_1_1_4" localSheetId="3">#REF!</definedName>
    <definedName name="Excel_BuiltIn_Print_Area_1_1_4" localSheetId="7">#REF!</definedName>
    <definedName name="Excel_BuiltIn_Print_Area_1_1_4">#REF!</definedName>
    <definedName name="Excel_BuiltIn_Print_Area_1_6" localSheetId="3">#REF!</definedName>
    <definedName name="Excel_BuiltIn_Print_Area_1_6" localSheetId="7">#REF!</definedName>
    <definedName name="Excel_BuiltIn_Print_Area_1_6">#REF!</definedName>
    <definedName name="Excel_BuiltIn_Print_Area_1_6_4" localSheetId="3">#REF!</definedName>
    <definedName name="Excel_BuiltIn_Print_Area_1_6_4" localSheetId="7">#REF!</definedName>
    <definedName name="Excel_BuiltIn_Print_Area_1_6_4">#REF!</definedName>
    <definedName name="Excel_BuiltIn_Print_Area_2_1_1">NA()</definedName>
    <definedName name="Excel_BuiltIn_Print_Area_21" localSheetId="3">#REF!</definedName>
    <definedName name="Excel_BuiltIn_Print_Area_21" localSheetId="7">#REF!</definedName>
    <definedName name="Excel_BuiltIn_Print_Area_21">#REF!</definedName>
    <definedName name="Excel_BuiltIn_Print_Area_21_1" localSheetId="3">#REF!</definedName>
    <definedName name="Excel_BuiltIn_Print_Area_21_1" localSheetId="7">#REF!</definedName>
    <definedName name="Excel_BuiltIn_Print_Area_21_1">#REF!</definedName>
    <definedName name="Excel_BuiltIn_Print_Area_21_1_4" localSheetId="3">#REF!</definedName>
    <definedName name="Excel_BuiltIn_Print_Area_21_1_4" localSheetId="7">#REF!</definedName>
    <definedName name="Excel_BuiltIn_Print_Area_21_1_4">#REF!</definedName>
    <definedName name="Excel_BuiltIn_Print_Area_21_4" localSheetId="3">#REF!</definedName>
    <definedName name="Excel_BuiltIn_Print_Area_21_4" localSheetId="7">#REF!</definedName>
    <definedName name="Excel_BuiltIn_Print_Area_21_4">#REF!</definedName>
    <definedName name="Excel_BuiltIn_Print_Area_21_6" localSheetId="3">#REF!</definedName>
    <definedName name="Excel_BuiltIn_Print_Area_21_6" localSheetId="7">#REF!</definedName>
    <definedName name="Excel_BuiltIn_Print_Area_21_6">#REF!</definedName>
    <definedName name="Excel_BuiltIn_Print_Area_21_6_4" localSheetId="3">#REF!</definedName>
    <definedName name="Excel_BuiltIn_Print_Area_21_6_4" localSheetId="7">#REF!</definedName>
    <definedName name="Excel_BuiltIn_Print_Area_21_6_4">#REF!</definedName>
    <definedName name="Excel_BuiltIn_Print_Area_23_1" localSheetId="3">#REF!</definedName>
    <definedName name="Excel_BuiltIn_Print_Area_23_1" localSheetId="7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3">#REF!</definedName>
    <definedName name="Excel_BuiltIn_Print_Area_26" localSheetId="7">#REF!</definedName>
    <definedName name="Excel_BuiltIn_Print_Area_26">#REF!</definedName>
    <definedName name="Excel_BuiltIn_Print_Area_26_1" localSheetId="3">#REF!</definedName>
    <definedName name="Excel_BuiltIn_Print_Area_26_1" localSheetId="7">#REF!</definedName>
    <definedName name="Excel_BuiltIn_Print_Area_26_1">#REF!</definedName>
    <definedName name="Excel_BuiltIn_Print_Area_26_1_4" localSheetId="3">#REF!</definedName>
    <definedName name="Excel_BuiltIn_Print_Area_26_1_4" localSheetId="7">#REF!</definedName>
    <definedName name="Excel_BuiltIn_Print_Area_26_1_4">#REF!</definedName>
    <definedName name="Excel_BuiltIn_Print_Area_26_4" localSheetId="3">#REF!</definedName>
    <definedName name="Excel_BuiltIn_Print_Area_26_4" localSheetId="7">#REF!</definedName>
    <definedName name="Excel_BuiltIn_Print_Area_26_4">#REF!</definedName>
    <definedName name="Excel_BuiltIn_Print_Area_26_6" localSheetId="3">#REF!</definedName>
    <definedName name="Excel_BuiltIn_Print_Area_26_6" localSheetId="7">#REF!</definedName>
    <definedName name="Excel_BuiltIn_Print_Area_26_6">#REF!</definedName>
    <definedName name="Excel_BuiltIn_Print_Area_26_6_4" localSheetId="3">#REF!</definedName>
    <definedName name="Excel_BuiltIn_Print_Area_26_6_4" localSheetId="7">#REF!</definedName>
    <definedName name="Excel_BuiltIn_Print_Area_26_6_4">#REF!</definedName>
    <definedName name="Excel_BuiltIn_Print_Area_27_1" localSheetId="3">#REF!</definedName>
    <definedName name="Excel_BuiltIn_Print_Area_27_1" localSheetId="7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 localSheetId="3">#REF!</definedName>
    <definedName name="Excel_BuiltIn_Print_Area_3" localSheetId="7">#REF!</definedName>
    <definedName name="Excel_BuiltIn_Print_Area_3">#REF!</definedName>
    <definedName name="Excel_BuiltIn_Print_Area_3_1" localSheetId="3">#REF!</definedName>
    <definedName name="Excel_BuiltIn_Print_Area_3_1" localSheetId="7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 localSheetId="3">#REF!</definedName>
    <definedName name="Excel_BuiltIn_Print_Area_33_1" localSheetId="7">#REF!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3">#REF!</definedName>
    <definedName name="Excel_BuiltIn_Print_Area_5" localSheetId="7">#REF!</definedName>
    <definedName name="Excel_BuiltIn_Print_Area_5">#REF!</definedName>
    <definedName name="Excel_BuiltIn_Print_Area_5_1" localSheetId="3">#REF!</definedName>
    <definedName name="Excel_BuiltIn_Print_Area_5_1" localSheetId="7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 localSheetId="3">#REF!</definedName>
    <definedName name="Excel_BuiltIn_Print_Area_8" localSheetId="7">#REF!</definedName>
    <definedName name="Excel_BuiltIn_Print_Area_8">#REF!</definedName>
    <definedName name="Excel_BuiltIn_Print_Titles_1" localSheetId="3">#REF!</definedName>
    <definedName name="Excel_BuiltIn_Print_Titles_1" localSheetId="7">#REF!</definedName>
    <definedName name="Excel_BuiltIn_Print_Titles_1">#REF!</definedName>
    <definedName name="Excel_BuiltIn_Print_Titles_1_1" localSheetId="3">#REF!</definedName>
    <definedName name="Excel_BuiltIn_Print_Titles_1_1" localSheetId="7">#REF!</definedName>
    <definedName name="Excel_BuiltIn_Print_Titles_1_1">#REF!</definedName>
    <definedName name="Excel_BuiltIn_Print_Titles_1_1_4" localSheetId="3">#REF!</definedName>
    <definedName name="Excel_BuiltIn_Print_Titles_1_1_4" localSheetId="7">#REF!</definedName>
    <definedName name="Excel_BuiltIn_Print_Titles_1_1_4">#REF!</definedName>
    <definedName name="Excel_BuiltIn_Print_Titles_1_4" localSheetId="3">#REF!</definedName>
    <definedName name="Excel_BuiltIn_Print_Titles_1_4" localSheetId="7">#REF!</definedName>
    <definedName name="Excel_BuiltIn_Print_Titles_1_4">#REF!</definedName>
    <definedName name="Excel_BuiltIn_Print_Titles_1_6" localSheetId="3">#REF!</definedName>
    <definedName name="Excel_BuiltIn_Print_Titles_1_6" localSheetId="7">#REF!</definedName>
    <definedName name="Excel_BuiltIn_Print_Titles_1_6">#REF!</definedName>
    <definedName name="Excel_BuiltIn_Print_Titles_1_6_4" localSheetId="3">#REF!</definedName>
    <definedName name="Excel_BuiltIn_Print_Titles_1_6_4" localSheetId="7">#REF!</definedName>
    <definedName name="Excel_BuiltIn_Print_Titles_1_6_4">#REF!</definedName>
    <definedName name="Excel_BuiltIn_Print_Titles_10" localSheetId="3">#REF!</definedName>
    <definedName name="Excel_BuiltIn_Print_Titles_10" localSheetId="7">#REF!</definedName>
    <definedName name="Excel_BuiltIn_Print_Titles_10">#REF!</definedName>
    <definedName name="Excel_BuiltIn_Print_Titles_12_1" localSheetId="3">#REF!</definedName>
    <definedName name="Excel_BuiltIn_Print_Titles_12_1" localSheetId="7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3">#REF!</definedName>
    <definedName name="Excel_BuiltIn_Print_Titles_16_5" localSheetId="7">#REF!</definedName>
    <definedName name="Excel_BuiltIn_Print_Titles_16_5">#REF!</definedName>
    <definedName name="Excel_BuiltIn_Print_Titles_16_5_4" localSheetId="3">#REF!</definedName>
    <definedName name="Excel_BuiltIn_Print_Titles_16_5_4" localSheetId="7">#REF!</definedName>
    <definedName name="Excel_BuiltIn_Print_Titles_16_5_4">#REF!</definedName>
    <definedName name="Excel_BuiltIn_Print_Titles_16_6" localSheetId="3">#REF!</definedName>
    <definedName name="Excel_BuiltIn_Print_Titles_16_6" localSheetId="7">#REF!</definedName>
    <definedName name="Excel_BuiltIn_Print_Titles_16_6">#REF!</definedName>
    <definedName name="Excel_BuiltIn_Print_Titles_16_6_4" localSheetId="3">#REF!</definedName>
    <definedName name="Excel_BuiltIn_Print_Titles_16_6_4" localSheetId="7">#REF!</definedName>
    <definedName name="Excel_BuiltIn_Print_Titles_16_6_4">#REF!</definedName>
    <definedName name="Excel_BuiltIn_Print_Titles_16_8" localSheetId="3">#REF!</definedName>
    <definedName name="Excel_BuiltIn_Print_Titles_16_8" localSheetId="7">#REF!</definedName>
    <definedName name="Excel_BuiltIn_Print_Titles_16_8">#REF!</definedName>
    <definedName name="Excel_BuiltIn_Print_Titles_16_8_4" localSheetId="3">#REF!</definedName>
    <definedName name="Excel_BuiltIn_Print_Titles_16_8_4" localSheetId="7">#REF!</definedName>
    <definedName name="Excel_BuiltIn_Print_Titles_16_8_4">#REF!</definedName>
    <definedName name="Excel_BuiltIn_Print_Titles_3" localSheetId="3">#REF!</definedName>
    <definedName name="Excel_BuiltIn_Print_Titles_3" localSheetId="7">#REF!</definedName>
    <definedName name="Excel_BuiltIn_Print_Titles_3">#REF!</definedName>
    <definedName name="Excel_BuiltIn_Print_Titles_4" localSheetId="3">'[7]Resumo São Francisco e Araripe'!#REF!</definedName>
    <definedName name="Excel_BuiltIn_Print_Titles_4" localSheetId="7">'[7]Resumo São Francisco e Araripe'!#REF!</definedName>
    <definedName name="Excel_BuiltIn_Print_Titles_4">'[7]Resumo São Francisco e Araripe'!#REF!</definedName>
    <definedName name="Excel_BuiltIn_Print_Titles_5" localSheetId="3">#REF!</definedName>
    <definedName name="Excel_BuiltIn_Print_Titles_5" localSheetId="7">#REF!</definedName>
    <definedName name="Excel_BuiltIn_Print_Titles_5">#REF!</definedName>
    <definedName name="Excel_BuiltIn_Print_Titles_8" localSheetId="3">#REF!</definedName>
    <definedName name="Excel_BuiltIn_Print_Titles_8" localSheetId="7">#REF!</definedName>
    <definedName name="Excel_BuiltIn_Print_Titles_8">#REF!</definedName>
    <definedName name="fajjadsjajkds" localSheetId="3">[2]CombLub!#REF!</definedName>
    <definedName name="fajjadsjajkds" localSheetId="7">[2]CombLub!#REF!</definedName>
    <definedName name="fajjadsjajkds">[2]CombLub!#REF!</definedName>
    <definedName name="fajjadsjajkds_1" localSheetId="3">[2]CombLub!#REF!</definedName>
    <definedName name="fajjadsjajkds_1" localSheetId="7">[2]CombLub!#REF!</definedName>
    <definedName name="fajjadsjajkds_1">[2]CombLub!#REF!</definedName>
    <definedName name="fajjadsjajkds_1_4" localSheetId="3">[2]CombLub!#REF!</definedName>
    <definedName name="fajjadsjajkds_1_4" localSheetId="7">[2]CombLub!#REF!</definedName>
    <definedName name="fajjadsjajkds_1_4">[2]CombLub!#REF!</definedName>
    <definedName name="fajjadsjajkds_4" localSheetId="3">[2]CombLub!#REF!</definedName>
    <definedName name="fajjadsjajkds_4" localSheetId="7">[2]CombLub!#REF!</definedName>
    <definedName name="fajjadsjajkds_4">[2]CombLub!#REF!</definedName>
    <definedName name="fajjadsjajkds_6" localSheetId="3">[2]CombLub!#REF!</definedName>
    <definedName name="fajjadsjajkds_6" localSheetId="7">[2]CombLub!#REF!</definedName>
    <definedName name="fajjadsjajkds_6">[2]CombLub!#REF!</definedName>
    <definedName name="fajjadsjajkds_6_4" localSheetId="3">[2]CombLub!#REF!</definedName>
    <definedName name="fajjadsjajkds_6_4" localSheetId="7">[2]CombLub!#REF!</definedName>
    <definedName name="fajjadsjajkds_6_4">[2]CombLub!#REF!</definedName>
    <definedName name="FATOR">NA()</definedName>
    <definedName name="fcm" localSheetId="3">#REF!</definedName>
    <definedName name="fcm" localSheetId="7">#REF!</definedName>
    <definedName name="fcm">#REF!</definedName>
    <definedName name="fer" localSheetId="3">#REF!</definedName>
    <definedName name="fer" localSheetId="7">#REF!</definedName>
    <definedName name="fer">#REF!</definedName>
    <definedName name="fossa" localSheetId="3">#REF!</definedName>
    <definedName name="fossa" localSheetId="7">#REF!</definedName>
    <definedName name="fossa">#REF!</definedName>
    <definedName name="FT" localSheetId="3">#REF!</definedName>
    <definedName name="FT" localSheetId="7">#REF!</definedName>
    <definedName name="FT">#REF!</definedName>
    <definedName name="FunE" localSheetId="3">#REF!</definedName>
    <definedName name="FunE" localSheetId="7">#REF!</definedName>
    <definedName name="FunE">#REF!</definedName>
    <definedName name="FunE_1" localSheetId="3">#REF!</definedName>
    <definedName name="FunE_1" localSheetId="7">#REF!</definedName>
    <definedName name="FunE_1">#REF!</definedName>
    <definedName name="FunE_1_4" localSheetId="3">#REF!</definedName>
    <definedName name="FunE_1_4" localSheetId="7">#REF!</definedName>
    <definedName name="FunE_1_4">#REF!</definedName>
    <definedName name="FunE_4" localSheetId="3">#REF!</definedName>
    <definedName name="FunE_4" localSheetId="7">#REF!</definedName>
    <definedName name="FunE_4">#REF!</definedName>
    <definedName name="FunE_6" localSheetId="3">#REF!</definedName>
    <definedName name="FunE_6" localSheetId="7">#REF!</definedName>
    <definedName name="FunE_6">#REF!</definedName>
    <definedName name="FunE_6_4" localSheetId="3">#REF!</definedName>
    <definedName name="FunE_6_4" localSheetId="7">#REF!</definedName>
    <definedName name="FunE_6_4">#REF!</definedName>
    <definedName name="FunInt" localSheetId="3">#REF!</definedName>
    <definedName name="FunInt" localSheetId="7">#REF!</definedName>
    <definedName name="FunInt">#REF!</definedName>
    <definedName name="FunInt_1" localSheetId="3">#REF!</definedName>
    <definedName name="FunInt_1" localSheetId="7">#REF!</definedName>
    <definedName name="FunInt_1">#REF!</definedName>
    <definedName name="FunInt_1_4" localSheetId="3">#REF!</definedName>
    <definedName name="FunInt_1_4" localSheetId="7">#REF!</definedName>
    <definedName name="FunInt_1_4">#REF!</definedName>
    <definedName name="FunInt_4" localSheetId="3">#REF!</definedName>
    <definedName name="FunInt_4" localSheetId="7">#REF!</definedName>
    <definedName name="FunInt_4">#REF!</definedName>
    <definedName name="FunInt_6" localSheetId="3">#REF!</definedName>
    <definedName name="FunInt_6" localSheetId="7">#REF!</definedName>
    <definedName name="FunInt_6">#REF!</definedName>
    <definedName name="FunInt_6_4" localSheetId="3">#REF!</definedName>
    <definedName name="FunInt_6_4" localSheetId="7">#REF!</definedName>
    <definedName name="FunInt_6_4">#REF!</definedName>
    <definedName name="FunR" localSheetId="3">#REF!</definedName>
    <definedName name="FunR" localSheetId="7">#REF!</definedName>
    <definedName name="FunR">#REF!</definedName>
    <definedName name="FunR_1" localSheetId="3">#REF!</definedName>
    <definedName name="FunR_1" localSheetId="7">#REF!</definedName>
    <definedName name="FunR_1">#REF!</definedName>
    <definedName name="FunR_1_4" localSheetId="3">#REF!</definedName>
    <definedName name="FunR_1_4" localSheetId="7">#REF!</definedName>
    <definedName name="FunR_1_4">#REF!</definedName>
    <definedName name="FunR_4" localSheetId="3">#REF!</definedName>
    <definedName name="FunR_4" localSheetId="7">#REF!</definedName>
    <definedName name="FunR_4">#REF!</definedName>
    <definedName name="FunR_6" localSheetId="3">#REF!</definedName>
    <definedName name="FunR_6" localSheetId="7">#REF!</definedName>
    <definedName name="FunR_6">#REF!</definedName>
    <definedName name="FunR_6_4" localSheetId="3">#REF!</definedName>
    <definedName name="FunR_6_4" localSheetId="7">#REF!</definedName>
    <definedName name="FunR_6_4">#REF!</definedName>
    <definedName name="GAS" localSheetId="3">#REF!</definedName>
    <definedName name="GAS" localSheetId="7">#REF!</definedName>
    <definedName name="GAS">#REF!</definedName>
    <definedName name="gdc" localSheetId="3">#REF!</definedName>
    <definedName name="gdc" localSheetId="7">#REF!</definedName>
    <definedName name="gdc">#REF!</definedName>
    <definedName name="gfg" localSheetId="3">#REF!</definedName>
    <definedName name="gfg" localSheetId="7">#REF!</definedName>
    <definedName name="gfg">#REF!</definedName>
    <definedName name="ggm" localSheetId="3">#REF!</definedName>
    <definedName name="ggm" localSheetId="7">#REF!</definedName>
    <definedName name="ggm">#REF!</definedName>
    <definedName name="graf" localSheetId="3">#REF!</definedName>
    <definedName name="graf" localSheetId="7">#REF!</definedName>
    <definedName name="graf">#REF!</definedName>
    <definedName name="graf_8">NA()</definedName>
    <definedName name="GRI" localSheetId="3">#REF!</definedName>
    <definedName name="GRI" localSheetId="7">#REF!</definedName>
    <definedName name="GRI">#REF!</definedName>
    <definedName name="GRP" localSheetId="3">#REF!</definedName>
    <definedName name="GRP" localSheetId="7">#REF!</definedName>
    <definedName name="GRP">#REF!</definedName>
    <definedName name="grx" localSheetId="3">#REF!</definedName>
    <definedName name="grx" localSheetId="7">#REF!</definedName>
    <definedName name="grx">#REF!</definedName>
    <definedName name="hid1_2" localSheetId="3">#REF!</definedName>
    <definedName name="hid1_2" localSheetId="7">#REF!</definedName>
    <definedName name="hid1_2">#REF!</definedName>
    <definedName name="I1666725">'[8]CUC-SICRO'!$I$167582</definedName>
    <definedName name="InsInt" localSheetId="3">[2]Tel!#REF!</definedName>
    <definedName name="InsInt" localSheetId="7">[2]Tel!#REF!</definedName>
    <definedName name="InsInt">[2]Tel!#REF!</definedName>
    <definedName name="InsInt_1" localSheetId="3">[2]Tel!#REF!</definedName>
    <definedName name="InsInt_1" localSheetId="7">[2]Tel!#REF!</definedName>
    <definedName name="InsInt_1">[2]Tel!#REF!</definedName>
    <definedName name="InsInt_1_4" localSheetId="3">[2]Tel!#REF!</definedName>
    <definedName name="InsInt_1_4" localSheetId="7">[2]Tel!#REF!</definedName>
    <definedName name="InsInt_1_4">[2]Tel!#REF!</definedName>
    <definedName name="InsInt_4" localSheetId="3">[2]Tel!#REF!</definedName>
    <definedName name="InsInt_4" localSheetId="7">[2]Tel!#REF!</definedName>
    <definedName name="InsInt_4">[2]Tel!#REF!</definedName>
    <definedName name="InsInt_6" localSheetId="3">[2]Tel!#REF!</definedName>
    <definedName name="InsInt_6" localSheetId="7">[2]Tel!#REF!</definedName>
    <definedName name="InsInt_6">[2]Tel!#REF!</definedName>
    <definedName name="InsInt_6_4" localSheetId="3">[2]Tel!#REF!</definedName>
    <definedName name="InsInt_6_4" localSheetId="7">[2]Tel!#REF!</definedName>
    <definedName name="InsInt_6_4">[2]Tel!#REF!</definedName>
    <definedName name="InvEscri" localSheetId="3">[2]EquiA!#REF!</definedName>
    <definedName name="InvEscri" localSheetId="7">[2]EquiA!#REF!</definedName>
    <definedName name="InvEscri">[2]EquiA!#REF!</definedName>
    <definedName name="InvEscri_1" localSheetId="3">[2]EquiA!#REF!</definedName>
    <definedName name="InvEscri_1" localSheetId="7">[2]EquiA!#REF!</definedName>
    <definedName name="InvEscri_1">[2]EquiA!#REF!</definedName>
    <definedName name="InvEscri_1_4" localSheetId="3">[2]EquiA!#REF!</definedName>
    <definedName name="InvEscri_1_4" localSheetId="7">[2]EquiA!#REF!</definedName>
    <definedName name="InvEscri_1_4">[2]EquiA!#REF!</definedName>
    <definedName name="InvEscri_4" localSheetId="3">[2]EquiA!#REF!</definedName>
    <definedName name="InvEscri_4" localSheetId="7">[2]EquiA!#REF!</definedName>
    <definedName name="InvEscri_4">[2]EquiA!#REF!</definedName>
    <definedName name="InvEscri_6" localSheetId="3">[2]EquiA!#REF!</definedName>
    <definedName name="InvEscri_6" localSheetId="7">[2]EquiA!#REF!</definedName>
    <definedName name="InvEscri_6">[2]EquiA!#REF!</definedName>
    <definedName name="InvEscri_6_4" localSheetId="3">[2]EquiA!#REF!</definedName>
    <definedName name="InvEscri_6_4" localSheetId="7">[2]EquiA!#REF!</definedName>
    <definedName name="InvEscri_6_4">[2]EquiA!#REF!</definedName>
    <definedName name="InvVei" localSheetId="3">[2]EquiA!#REF!</definedName>
    <definedName name="InvVei" localSheetId="7">[2]EquiA!#REF!</definedName>
    <definedName name="InvVei">[2]EquiA!#REF!</definedName>
    <definedName name="InvVei_1" localSheetId="3">[2]EquiA!#REF!</definedName>
    <definedName name="InvVei_1" localSheetId="7">[2]EquiA!#REF!</definedName>
    <definedName name="InvVei_1">[2]EquiA!#REF!</definedName>
    <definedName name="InvVei_1_4" localSheetId="3">[2]EquiA!#REF!</definedName>
    <definedName name="InvVei_1_4" localSheetId="7">[2]EquiA!#REF!</definedName>
    <definedName name="InvVei_1_4">[2]EquiA!#REF!</definedName>
    <definedName name="InvVei_4" localSheetId="3">[2]EquiA!#REF!</definedName>
    <definedName name="InvVei_4" localSheetId="7">[2]EquiA!#REF!</definedName>
    <definedName name="InvVei_4">[2]EquiA!#REF!</definedName>
    <definedName name="InvVei_6" localSheetId="3">[2]EquiA!#REF!</definedName>
    <definedName name="InvVei_6" localSheetId="7">[2]EquiA!#REF!</definedName>
    <definedName name="InvVei_6">[2]EquiA!#REF!</definedName>
    <definedName name="InvVei_6_4" localSheetId="3">[2]EquiA!#REF!</definedName>
    <definedName name="InvVei_6_4" localSheetId="7">[2]EquiA!#REF!</definedName>
    <definedName name="InvVei_6_4">[2]EquiA!#REF!</definedName>
    <definedName name="InvVeia" localSheetId="3">[2]EquiA!#REF!</definedName>
    <definedName name="InvVeia" localSheetId="7">[2]EquiA!#REF!</definedName>
    <definedName name="InvVeia">[2]EquiA!#REF!</definedName>
    <definedName name="InvVeia_1" localSheetId="3">[2]EquiA!#REF!</definedName>
    <definedName name="InvVeia_1" localSheetId="7">[2]EquiA!#REF!</definedName>
    <definedName name="InvVeia_1">[2]EquiA!#REF!</definedName>
    <definedName name="InvVeia_1_4" localSheetId="3">[2]EquiA!#REF!</definedName>
    <definedName name="InvVeia_1_4" localSheetId="7">[2]EquiA!#REF!</definedName>
    <definedName name="InvVeia_1_4">[2]EquiA!#REF!</definedName>
    <definedName name="InvVeia_4" localSheetId="3">[2]EquiA!#REF!</definedName>
    <definedName name="InvVeia_4" localSheetId="7">[2]EquiA!#REF!</definedName>
    <definedName name="InvVeia_4">[2]EquiA!#REF!</definedName>
    <definedName name="InvVeia_6" localSheetId="3">[2]EquiA!#REF!</definedName>
    <definedName name="InvVeia_6" localSheetId="7">[2]EquiA!#REF!</definedName>
    <definedName name="InvVeia_6">[2]EquiA!#REF!</definedName>
    <definedName name="InvVeia_6_4" localSheetId="3">[2]EquiA!#REF!</definedName>
    <definedName name="InvVeia_6_4" localSheetId="7">[2]EquiA!#REF!</definedName>
    <definedName name="InvVeia_6_4">[2]EquiA!#REF!</definedName>
    <definedName name="ipf" localSheetId="3">#REF!</definedName>
    <definedName name="ipf" localSheetId="7">#REF!</definedName>
    <definedName name="ipf">#REF!</definedName>
    <definedName name="itus1" localSheetId="3">#REF!</definedName>
    <definedName name="itus1" localSheetId="7">#REF!</definedName>
    <definedName name="itus1">#REF!</definedName>
    <definedName name="jla1_220" localSheetId="3">#REF!</definedName>
    <definedName name="jla1_220" localSheetId="7">#REF!</definedName>
    <definedName name="jla1_220">#REF!</definedName>
    <definedName name="JRS" localSheetId="3">#REF!</definedName>
    <definedName name="JRS" localSheetId="7">#REF!</definedName>
    <definedName name="JRS">#REF!</definedName>
    <definedName name="Leituristas" localSheetId="3">[2]PessA!#REF!</definedName>
    <definedName name="Leituristas" localSheetId="7">[2]PessA!#REF!</definedName>
    <definedName name="Leituristas">[2]PessA!#REF!</definedName>
    <definedName name="Leituristas_1" localSheetId="3">[2]PessA!#REF!</definedName>
    <definedName name="Leituristas_1" localSheetId="7">[2]PessA!#REF!</definedName>
    <definedName name="Leituristas_1">[2]PessA!#REF!</definedName>
    <definedName name="Leituristas_1_4" localSheetId="3">[2]PessA!#REF!</definedName>
    <definedName name="Leituristas_1_4" localSheetId="7">[2]PessA!#REF!</definedName>
    <definedName name="Leituristas_1_4">[2]PessA!#REF!</definedName>
    <definedName name="Leituristas_4" localSheetId="3">[2]PessA!#REF!</definedName>
    <definedName name="Leituristas_4" localSheetId="7">[2]PessA!#REF!</definedName>
    <definedName name="Leituristas_4">[2]PessA!#REF!</definedName>
    <definedName name="Leituristas_6" localSheetId="3">[2]PessA!#REF!</definedName>
    <definedName name="Leituristas_6" localSheetId="7">[2]PessA!#REF!</definedName>
    <definedName name="Leituristas_6">[2]PessA!#REF!</definedName>
    <definedName name="Leituristas_6_4" localSheetId="3">[2]PessA!#REF!</definedName>
    <definedName name="Leituristas_6_4" localSheetId="7">[2]PessA!#REF!</definedName>
    <definedName name="Leituristas_6_4">[2]PessA!#REF!</definedName>
    <definedName name="lm6_3" localSheetId="3">#REF!</definedName>
    <definedName name="lm6_3" localSheetId="7">#REF!</definedName>
    <definedName name="lm6_3">#REF!</definedName>
    <definedName name="lnm" localSheetId="3">#REF!</definedName>
    <definedName name="lnm" localSheetId="7">#REF!</definedName>
    <definedName name="lnm">#REF!</definedName>
    <definedName name="lpb" localSheetId="3">#REF!</definedName>
    <definedName name="lpb" localSheetId="7">#REF!</definedName>
    <definedName name="lpb">#REF!</definedName>
    <definedName name="LSO" localSheetId="3">#REF!</definedName>
    <definedName name="LSO" localSheetId="7">#REF!</definedName>
    <definedName name="LSO">#REF!</definedName>
    <definedName name="lub" localSheetId="3">#REF!</definedName>
    <definedName name="lub" localSheetId="7">#REF!</definedName>
    <definedName name="lub">#REF!</definedName>
    <definedName name="lvg12050_1" localSheetId="3">#REF!</definedName>
    <definedName name="lvg12050_1" localSheetId="7">#REF!</definedName>
    <definedName name="lvg12050_1">#REF!</definedName>
    <definedName name="lvp1_2" localSheetId="3">#REF!</definedName>
    <definedName name="lvp1_2" localSheetId="7">#REF!</definedName>
    <definedName name="lvp1_2">#REF!</definedName>
    <definedName name="lvr" localSheetId="3">#REF!</definedName>
    <definedName name="lvr" localSheetId="7">#REF!</definedName>
    <definedName name="lvr">#REF!</definedName>
    <definedName name="lxa" localSheetId="3">#REF!</definedName>
    <definedName name="lxa" localSheetId="7">#REF!</definedName>
    <definedName name="lxa">#REF!</definedName>
    <definedName name="lxa1_8">NA()</definedName>
    <definedName name="lxaf" localSheetId="3">#REF!</definedName>
    <definedName name="lxaf" localSheetId="7">#REF!</definedName>
    <definedName name="lxaf">#REF!</definedName>
    <definedName name="mad" localSheetId="3">#REF!</definedName>
    <definedName name="mad" localSheetId="7">#REF!</definedName>
    <definedName name="mad">#REF!</definedName>
    <definedName name="map" localSheetId="3">#REF!</definedName>
    <definedName name="map" localSheetId="7">#REF!</definedName>
    <definedName name="map">#REF!</definedName>
    <definedName name="mdn" localSheetId="3">#REF!</definedName>
    <definedName name="mdn" localSheetId="7">#REF!</definedName>
    <definedName name="mdn">#REF!</definedName>
    <definedName name="MNI" localSheetId="3">#REF!</definedName>
    <definedName name="MNI" localSheetId="7">#REF!</definedName>
    <definedName name="MNI">#REF!</definedName>
    <definedName name="MNP" localSheetId="3">#REF!</definedName>
    <definedName name="MNP" localSheetId="7">#REF!</definedName>
    <definedName name="MNP">#REF!</definedName>
    <definedName name="MO">'[4]CUSTOS UNITÁRIOS'!$C$316:$I$371</definedName>
    <definedName name="motoristas" localSheetId="3">[2]EquiOM!#REF!</definedName>
    <definedName name="motoristas" localSheetId="7">[2]EquiOM!#REF!</definedName>
    <definedName name="motoristas">[2]EquiOM!#REF!</definedName>
    <definedName name="motoristas_1" localSheetId="3">[2]EquiOM!#REF!</definedName>
    <definedName name="motoristas_1" localSheetId="7">[2]EquiOM!#REF!</definedName>
    <definedName name="motoristas_1">[2]EquiOM!#REF!</definedName>
    <definedName name="motoristas_1_4" localSheetId="3">[2]EquiOM!#REF!</definedName>
    <definedName name="motoristas_1_4" localSheetId="7">[2]EquiOM!#REF!</definedName>
    <definedName name="motoristas_1_4">[2]EquiOM!#REF!</definedName>
    <definedName name="motoristas_4" localSheetId="3">[2]EquiOM!#REF!</definedName>
    <definedName name="motoristas_4" localSheetId="7">[2]EquiOM!#REF!</definedName>
    <definedName name="motoristas_4">[2]EquiOM!#REF!</definedName>
    <definedName name="motoristas_6" localSheetId="3">[2]EquiOM!#REF!</definedName>
    <definedName name="motoristas_6" localSheetId="7">[2]EquiOM!#REF!</definedName>
    <definedName name="motoristas_6">[2]EquiOM!#REF!</definedName>
    <definedName name="motoristas_6_4" localSheetId="3">[2]EquiOM!#REF!</definedName>
    <definedName name="motoristas_6_4" localSheetId="7">[2]EquiOM!#REF!</definedName>
    <definedName name="motoristas_6_4">[2]EquiOM!#REF!</definedName>
    <definedName name="mour" localSheetId="3">#REF!</definedName>
    <definedName name="mour" localSheetId="7">#REF!</definedName>
    <definedName name="mour">#REF!</definedName>
    <definedName name="mour_8">NA()</definedName>
    <definedName name="mpm2.5" localSheetId="3">#REF!</definedName>
    <definedName name="mpm2.5" localSheetId="7">#REF!</definedName>
    <definedName name="mpm2.5">#REF!</definedName>
    <definedName name="mpm2_5" localSheetId="3">#REF!</definedName>
    <definedName name="mpm2_5" localSheetId="7">#REF!</definedName>
    <definedName name="mpm2_5">#REF!</definedName>
    <definedName name="msv" localSheetId="3">#REF!</definedName>
    <definedName name="msv" localSheetId="7">#REF!</definedName>
    <definedName name="msv">#REF!</definedName>
    <definedName name="MT">'[4]CUSTOS UNITÁRIOS'!$C$4:$G$315</definedName>
    <definedName name="niv" localSheetId="3">#REF!</definedName>
    <definedName name="niv" localSheetId="7">#REF!</definedName>
    <definedName name="niv">#REF!</definedName>
    <definedName name="nome">NA()</definedName>
    <definedName name="nome_2">NA()</definedName>
    <definedName name="nome_4" localSheetId="3">#REF!</definedName>
    <definedName name="nome_4" localSheetId="7">#REF!</definedName>
    <definedName name="nome_4">#REF!</definedName>
    <definedName name="nome_8">NA()</definedName>
    <definedName name="nrjCfh" localSheetId="3">#REF!</definedName>
    <definedName name="nrjCfh" localSheetId="7">#REF!</definedName>
    <definedName name="nrjCfh">#REF!</definedName>
    <definedName name="nrjCfh_1" localSheetId="3">#REF!</definedName>
    <definedName name="nrjCfh_1" localSheetId="7">#REF!</definedName>
    <definedName name="nrjCfh_1">#REF!</definedName>
    <definedName name="nrjCfh_1_4" localSheetId="3">#REF!</definedName>
    <definedName name="nrjCfh_1_4" localSheetId="7">#REF!</definedName>
    <definedName name="nrjCfh_1_4">#REF!</definedName>
    <definedName name="nrjCfh_4" localSheetId="3">#REF!</definedName>
    <definedName name="nrjCfh_4" localSheetId="7">#REF!</definedName>
    <definedName name="nrjCfh_4">#REF!</definedName>
    <definedName name="nrjCfh_6" localSheetId="3">#REF!</definedName>
    <definedName name="nrjCfh_6" localSheetId="7">#REF!</definedName>
    <definedName name="nrjCfh_6">#REF!</definedName>
    <definedName name="nrjCfh_6_4" localSheetId="3">#REF!</definedName>
    <definedName name="nrjCfh_6_4" localSheetId="7">#REF!</definedName>
    <definedName name="nrjCfh_6_4">#REF!</definedName>
    <definedName name="nrjCVh" localSheetId="3">#REF!</definedName>
    <definedName name="nrjCVh" localSheetId="7">#REF!</definedName>
    <definedName name="nrjCVh">#REF!</definedName>
    <definedName name="nrjCVh_1" localSheetId="3">#REF!</definedName>
    <definedName name="nrjCVh_1" localSheetId="7">#REF!</definedName>
    <definedName name="nrjCVh_1">#REF!</definedName>
    <definedName name="nrjCVh_1_4" localSheetId="3">#REF!</definedName>
    <definedName name="nrjCVh_1_4" localSheetId="7">#REF!</definedName>
    <definedName name="nrjCVh_1_4">#REF!</definedName>
    <definedName name="nrjCVh_4" localSheetId="3">#REF!</definedName>
    <definedName name="nrjCVh_4" localSheetId="7">#REF!</definedName>
    <definedName name="nrjCVh_4">#REF!</definedName>
    <definedName name="nrjCVh_6" localSheetId="3">#REF!</definedName>
    <definedName name="nrjCVh_6" localSheetId="7">#REF!</definedName>
    <definedName name="nrjCVh_6">#REF!</definedName>
    <definedName name="nrjCVh_6_4" localSheetId="3">#REF!</definedName>
    <definedName name="nrjCVh_6_4" localSheetId="7">#REF!</definedName>
    <definedName name="nrjCVh_6_4">#REF!</definedName>
    <definedName name="odi" localSheetId="3">#REF!</definedName>
    <definedName name="odi" localSheetId="7">#REF!</definedName>
    <definedName name="odi">#REF!</definedName>
    <definedName name="ofc">NA()</definedName>
    <definedName name="ofc_8">NA()</definedName>
    <definedName name="ofi" localSheetId="3">#REF!</definedName>
    <definedName name="ofi" localSheetId="7">#REF!</definedName>
    <definedName name="ofi">#REF!</definedName>
    <definedName name="OGU" localSheetId="3">#REF!</definedName>
    <definedName name="OGU" localSheetId="7">#REF!</definedName>
    <definedName name="OGU">#REF!</definedName>
    <definedName name="oli" localSheetId="3">#REF!</definedName>
    <definedName name="oli" localSheetId="7">#REF!</definedName>
    <definedName name="oli">#REF!</definedName>
    <definedName name="pcf60x210" localSheetId="3">#REF!</definedName>
    <definedName name="pcf60x210" localSheetId="7">#REF!</definedName>
    <definedName name="pcf60x210">#REF!</definedName>
    <definedName name="pcf80x200" localSheetId="3">#REF!</definedName>
    <definedName name="pcf80x200" localSheetId="7">#REF!</definedName>
    <definedName name="pcf80x200">#REF!</definedName>
    <definedName name="pcf80x210" localSheetId="3">#REF!</definedName>
    <definedName name="pcf80x210" localSheetId="7">#REF!</definedName>
    <definedName name="pcf80x210">#REF!</definedName>
    <definedName name="pcfc" localSheetId="3">#REF!</definedName>
    <definedName name="pcfc" localSheetId="7">#REF!</definedName>
    <definedName name="pcfc">#REF!</definedName>
    <definedName name="pdm" localSheetId="3">#REF!</definedName>
    <definedName name="pdm" localSheetId="7">#REF!</definedName>
    <definedName name="pdm">#REF!</definedName>
    <definedName name="pdm_5" localSheetId="3">#REF!</definedName>
    <definedName name="pdm_5" localSheetId="7">#REF!</definedName>
    <definedName name="pdm_5">#REF!</definedName>
    <definedName name="pes" localSheetId="3">#REF!</definedName>
    <definedName name="pes" localSheetId="7">#REF!</definedName>
    <definedName name="pes">#REF!</definedName>
    <definedName name="pig" localSheetId="3">#REF!</definedName>
    <definedName name="pig" localSheetId="7">#REF!</definedName>
    <definedName name="pig">#REF!</definedName>
    <definedName name="PII" localSheetId="3">#REF!</definedName>
    <definedName name="PII" localSheetId="7">#REF!</definedName>
    <definedName name="PII">#REF!</definedName>
    <definedName name="PIP" localSheetId="3">#REF!</definedName>
    <definedName name="PIP" localSheetId="7">#REF!</definedName>
    <definedName name="PIP">#REF!</definedName>
    <definedName name="planilha">NA()</definedName>
    <definedName name="planilha_1">NA()</definedName>
    <definedName name="plc" localSheetId="3">#REF!</definedName>
    <definedName name="plc" localSheetId="7">#REF!</definedName>
    <definedName name="plc">#REF!</definedName>
    <definedName name="plc2.5" localSheetId="3">#REF!</definedName>
    <definedName name="plc2.5" localSheetId="7">#REF!</definedName>
    <definedName name="plc2.5">#REF!</definedName>
    <definedName name="plc2_5" localSheetId="3">#REF!</definedName>
    <definedName name="plc2_5" localSheetId="7">#REF!</definedName>
    <definedName name="plc2_5">#REF!</definedName>
    <definedName name="PMS" localSheetId="3">#REF!</definedName>
    <definedName name="PMS" localSheetId="7">#REF!</definedName>
    <definedName name="PMS">#REF!</definedName>
    <definedName name="pont" localSheetId="3">#REF!</definedName>
    <definedName name="pont" localSheetId="7">#REF!</definedName>
    <definedName name="pont">#REF!</definedName>
    <definedName name="por_sistema_IMR" localSheetId="3">#REF!</definedName>
    <definedName name="por_sistema_IMR" localSheetId="7">#REF!</definedName>
    <definedName name="por_sistema_IMR">#REF!</definedName>
    <definedName name="por_sistema_IMR_1" localSheetId="3">#REF!</definedName>
    <definedName name="por_sistema_IMR_1" localSheetId="7">#REF!</definedName>
    <definedName name="por_sistema_IMR_1">#REF!</definedName>
    <definedName name="por_sistema_IMR_1_4" localSheetId="3">#REF!</definedName>
    <definedName name="por_sistema_IMR_1_4" localSheetId="7">#REF!</definedName>
    <definedName name="por_sistema_IMR_1_4">#REF!</definedName>
    <definedName name="por_sistema_IMR_4" localSheetId="3">#REF!</definedName>
    <definedName name="por_sistema_IMR_4" localSheetId="7">#REF!</definedName>
    <definedName name="por_sistema_IMR_4">#REF!</definedName>
    <definedName name="por_sistema_IMR_6" localSheetId="3">#REF!</definedName>
    <definedName name="por_sistema_IMR_6" localSheetId="7">#REF!</definedName>
    <definedName name="por_sistema_IMR_6">#REF!</definedName>
    <definedName name="por_sistema_IMR_6_4" localSheetId="3">#REF!</definedName>
    <definedName name="por_sistema_IMR_6_4" localSheetId="7">#REF!</definedName>
    <definedName name="por_sistema_IMR_6_4">#REF!</definedName>
    <definedName name="Preço_kW" localSheetId="3">#REF!</definedName>
    <definedName name="Preço_kW" localSheetId="7">#REF!</definedName>
    <definedName name="Preço_kW">#REF!</definedName>
    <definedName name="Preço_kW_1" localSheetId="3">#REF!</definedName>
    <definedName name="Preço_kW_1" localSheetId="7">#REF!</definedName>
    <definedName name="Preço_kW_1">#REF!</definedName>
    <definedName name="Preço_kW_1_4" localSheetId="3">#REF!</definedName>
    <definedName name="Preço_kW_1_4" localSheetId="7">#REF!</definedName>
    <definedName name="Preço_kW_1_4">#REF!</definedName>
    <definedName name="Preço_kW_4" localSheetId="3">#REF!</definedName>
    <definedName name="Preço_kW_4" localSheetId="7">#REF!</definedName>
    <definedName name="Preço_kW_4">#REF!</definedName>
    <definedName name="Preço_kW_6" localSheetId="3">#REF!</definedName>
    <definedName name="Preço_kW_6" localSheetId="7">#REF!</definedName>
    <definedName name="Preço_kW_6">#REF!</definedName>
    <definedName name="Preço_kW_6_4" localSheetId="3">#REF!</definedName>
    <definedName name="Preço_kW_6_4" localSheetId="7">#REF!</definedName>
    <definedName name="Preço_kW_6_4">#REF!</definedName>
    <definedName name="pref">NA()</definedName>
    <definedName name="pref_2">NA()</definedName>
    <definedName name="pref_4" localSheetId="3">#REF!</definedName>
    <definedName name="pref_4" localSheetId="7">#REF!</definedName>
    <definedName name="pref_4">#REF!</definedName>
    <definedName name="pref_8">NA()</definedName>
    <definedName name="prf" localSheetId="3">#REF!</definedName>
    <definedName name="prf" localSheetId="7">#REF!</definedName>
    <definedName name="prf">#REF!</definedName>
    <definedName name="prg" localSheetId="3">#REF!</definedName>
    <definedName name="prg" localSheetId="7">#REF!</definedName>
    <definedName name="prg">#REF!</definedName>
    <definedName name="prg_5" localSheetId="3">#REF!</definedName>
    <definedName name="prg_5" localSheetId="7">#REF!</definedName>
    <definedName name="prg_5">#REF!</definedName>
    <definedName name="PROJ" localSheetId="3">#REF!</definedName>
    <definedName name="PROJ" localSheetId="7">#REF!</definedName>
    <definedName name="PROJ">#REF!</definedName>
    <definedName name="prtm" localSheetId="3">#REF!</definedName>
    <definedName name="prtm" localSheetId="7">#REF!</definedName>
    <definedName name="prtm">#REF!</definedName>
    <definedName name="ptc7_8">NA()</definedName>
    <definedName name="ptt3x2" localSheetId="3">#REF!</definedName>
    <definedName name="ptt3x2" localSheetId="7">#REF!</definedName>
    <definedName name="ptt3x2">#REF!</definedName>
    <definedName name="qgm" localSheetId="3">#REF!</definedName>
    <definedName name="qgm" localSheetId="7">#REF!</definedName>
    <definedName name="qgm">#REF!</definedName>
    <definedName name="rdt13.8" localSheetId="3">#REF!</definedName>
    <definedName name="rdt13.8" localSheetId="7">#REF!</definedName>
    <definedName name="rdt13.8">#REF!</definedName>
    <definedName name="rdt13_8" localSheetId="3">#REF!</definedName>
    <definedName name="rdt13_8" localSheetId="7">#REF!</definedName>
    <definedName name="rdt13_8">#REF!</definedName>
    <definedName name="rec" localSheetId="3">#REF!</definedName>
    <definedName name="rec" localSheetId="7">#REF!</definedName>
    <definedName name="rec">#REF!</definedName>
    <definedName name="RES" localSheetId="3">#REF!</definedName>
    <definedName name="RES" localSheetId="7">#REF!</definedName>
    <definedName name="RES">#REF!</definedName>
    <definedName name="rgG3_4" localSheetId="3">#REF!</definedName>
    <definedName name="rgG3_4" localSheetId="7">#REF!</definedName>
    <definedName name="rgG3_4">#REF!</definedName>
    <definedName name="rgp1_2" localSheetId="3">#REF!</definedName>
    <definedName name="rgp1_2" localSheetId="7">#REF!</definedName>
    <definedName name="rgp1_2">#REF!</definedName>
    <definedName name="RLI" localSheetId="3">#REF!</definedName>
    <definedName name="RLI" localSheetId="7">#REF!</definedName>
    <definedName name="RLI">#REF!</definedName>
    <definedName name="RLP" localSheetId="3">#REF!</definedName>
    <definedName name="RLP" localSheetId="7">#REF!</definedName>
    <definedName name="RLP">#REF!</definedName>
    <definedName name="RPI" localSheetId="3">#REF!</definedName>
    <definedName name="RPI" localSheetId="7">#REF!</definedName>
    <definedName name="RPI">#REF!</definedName>
    <definedName name="RPP" localSheetId="3">#REF!</definedName>
    <definedName name="RPP" localSheetId="7">#REF!</definedName>
    <definedName name="RPP">#REF!</definedName>
    <definedName name="s14_" localSheetId="3">#REF!</definedName>
    <definedName name="s14_" localSheetId="7">#REF!</definedName>
    <definedName name="s14_">#REF!</definedName>
    <definedName name="SAL" localSheetId="3">#REF!</definedName>
    <definedName name="SAL" localSheetId="7">#REF!</definedName>
    <definedName name="SAL">#REF!</definedName>
    <definedName name="seat15" localSheetId="3">#REF!</definedName>
    <definedName name="seat15" localSheetId="7">#REF!</definedName>
    <definedName name="seat15">#REF!</definedName>
    <definedName name="sin" localSheetId="3">#REF!</definedName>
    <definedName name="sin" localSheetId="7">#REF!</definedName>
    <definedName name="sin">#REF!</definedName>
    <definedName name="sollimp" localSheetId="3">#REF!</definedName>
    <definedName name="sollimp" localSheetId="7">#REF!</definedName>
    <definedName name="sollimp">#REF!</definedName>
    <definedName name="sOpRadio" localSheetId="3">[2]PessA!#REF!</definedName>
    <definedName name="sOpRadio" localSheetId="7">[2]PessA!#REF!</definedName>
    <definedName name="sOpRadio">[2]PessA!#REF!</definedName>
    <definedName name="sOpRadio_1" localSheetId="3">[2]PessA!#REF!</definedName>
    <definedName name="sOpRadio_1" localSheetId="7">[2]PessA!#REF!</definedName>
    <definedName name="sOpRadio_1">[2]PessA!#REF!</definedName>
    <definedName name="sOpRadio_1_4" localSheetId="3">[2]PessA!#REF!</definedName>
    <definedName name="sOpRadio_1_4" localSheetId="7">[2]PessA!#REF!</definedName>
    <definedName name="sOpRadio_1_4">[2]PessA!#REF!</definedName>
    <definedName name="sOpRadio_4" localSheetId="3">[2]PessA!#REF!</definedName>
    <definedName name="sOpRadio_4" localSheetId="7">[2]PessA!#REF!</definedName>
    <definedName name="sOpRadio_4">[2]PessA!#REF!</definedName>
    <definedName name="sOpRadio_6" localSheetId="3">[2]PessA!#REF!</definedName>
    <definedName name="sOpRadio_6" localSheetId="7">[2]PessA!#REF!</definedName>
    <definedName name="sOpRadio_6">[2]PessA!#REF!</definedName>
    <definedName name="sOpRadio_6_4" localSheetId="3">[2]PessA!#REF!</definedName>
    <definedName name="sOpRadio_6_4" localSheetId="7">[2]PessA!#REF!</definedName>
    <definedName name="sOpRadio_6_4">[2]PessA!#REF!</definedName>
    <definedName name="sRespOM" localSheetId="3">[2]PessA!#REF!</definedName>
    <definedName name="sRespOM" localSheetId="7">[2]PessA!#REF!</definedName>
    <definedName name="sRespOM">[2]PessA!#REF!</definedName>
    <definedName name="sRespOM_1" localSheetId="3">[2]PessA!#REF!</definedName>
    <definedName name="sRespOM_1" localSheetId="7">[2]PessA!#REF!</definedName>
    <definedName name="sRespOM_1">[2]PessA!#REF!</definedName>
    <definedName name="sRespOM_1_4" localSheetId="3">[2]PessA!#REF!</definedName>
    <definedName name="sRespOM_1_4" localSheetId="7">[2]PessA!#REF!</definedName>
    <definedName name="sRespOM_1_4">[2]PessA!#REF!</definedName>
    <definedName name="sRespOM_4" localSheetId="3">[2]PessA!#REF!</definedName>
    <definedName name="sRespOM_4" localSheetId="7">[2]PessA!#REF!</definedName>
    <definedName name="sRespOM_4">[2]PessA!#REF!</definedName>
    <definedName name="sRespOM_6" localSheetId="3">[2]PessA!#REF!</definedName>
    <definedName name="sRespOM_6" localSheetId="7">[2]PessA!#REF!</definedName>
    <definedName name="sRespOM_6">[2]PessA!#REF!</definedName>
    <definedName name="sRespOM_6_4" localSheetId="3">[2]PessA!#REF!</definedName>
    <definedName name="sRespOM_6_4" localSheetId="7">[2]PessA!#REF!</definedName>
    <definedName name="sRespOM_6_4">[2]PessA!#REF!</definedName>
    <definedName name="srv" localSheetId="3">#REF!</definedName>
    <definedName name="srv" localSheetId="7">#REF!</definedName>
    <definedName name="srv">#REF!</definedName>
    <definedName name="sum" localSheetId="3">#REF!</definedName>
    <definedName name="sum" localSheetId="7">#REF!</definedName>
    <definedName name="sum">#REF!</definedName>
    <definedName name="svt" localSheetId="3">#REF!</definedName>
    <definedName name="svt" localSheetId="7">#REF!</definedName>
    <definedName name="svt">#REF!</definedName>
    <definedName name="sxo" localSheetId="3">#REF!</definedName>
    <definedName name="sxo" localSheetId="7">#REF!</definedName>
    <definedName name="sxo">#REF!</definedName>
    <definedName name="tbv" localSheetId="3">#REF!</definedName>
    <definedName name="tbv" localSheetId="7">#REF!</definedName>
    <definedName name="tbv">#REF!</definedName>
    <definedName name="tbv_5" localSheetId="3">#REF!</definedName>
    <definedName name="tbv_5" localSheetId="7">#REF!</definedName>
    <definedName name="tbv_5">#REF!</definedName>
    <definedName name="ted" localSheetId="3">#REF!</definedName>
    <definedName name="ted" localSheetId="7">#REF!</definedName>
    <definedName name="ted">#REF!</definedName>
    <definedName name="TelO" localSheetId="3">[2]Tel!#REF!</definedName>
    <definedName name="TelO" localSheetId="7">[2]Tel!#REF!</definedName>
    <definedName name="TelO">[2]Tel!#REF!</definedName>
    <definedName name="TelO_1" localSheetId="3">[2]Tel!#REF!</definedName>
    <definedName name="TelO_1" localSheetId="7">[2]Tel!#REF!</definedName>
    <definedName name="TelO_1">[2]Tel!#REF!</definedName>
    <definedName name="TelO_1_4" localSheetId="3">[2]Tel!#REF!</definedName>
    <definedName name="TelO_1_4" localSheetId="7">[2]Tel!#REF!</definedName>
    <definedName name="TelO_1_4">[2]Tel!#REF!</definedName>
    <definedName name="TelO_4" localSheetId="3">[2]Tel!#REF!</definedName>
    <definedName name="TelO_4" localSheetId="7">[2]Tel!#REF!</definedName>
    <definedName name="TelO_4">[2]Tel!#REF!</definedName>
    <definedName name="TelO_6" localSheetId="3">[2]Tel!#REF!</definedName>
    <definedName name="TelO_6" localSheetId="7">[2]Tel!#REF!</definedName>
    <definedName name="TelO_6">[2]Tel!#REF!</definedName>
    <definedName name="TelO_6_4" localSheetId="3">[2]Tel!#REF!</definedName>
    <definedName name="TelO_6_4" localSheetId="7">[2]Tel!#REF!</definedName>
    <definedName name="TelO_6_4">[2]Tel!#REF!</definedName>
    <definedName name="ter" localSheetId="3">#REF!</definedName>
    <definedName name="ter" localSheetId="7">#REF!</definedName>
    <definedName name="ter">#REF!</definedName>
    <definedName name="tes" localSheetId="3">#REF!</definedName>
    <definedName name="tes" localSheetId="7">#REF!</definedName>
    <definedName name="tes">#REF!</definedName>
    <definedName name="teste" localSheetId="3">[2]PessA!#REF!</definedName>
    <definedName name="teste" localSheetId="7">[2]PessA!#REF!</definedName>
    <definedName name="teste">[2]PessA!#REF!</definedName>
    <definedName name="teste_1" localSheetId="3">[2]PessA!#REF!</definedName>
    <definedName name="teste_1" localSheetId="7">[2]PessA!#REF!</definedName>
    <definedName name="teste_1">[2]PessA!#REF!</definedName>
    <definedName name="teste_1_4" localSheetId="3">[2]PessA!#REF!</definedName>
    <definedName name="teste_1_4" localSheetId="7">[2]PessA!#REF!</definedName>
    <definedName name="teste_1_4">[2]PessA!#REF!</definedName>
    <definedName name="teste_4" localSheetId="3">[2]PessA!#REF!</definedName>
    <definedName name="teste_4" localSheetId="7">[2]PessA!#REF!</definedName>
    <definedName name="teste_4">[2]PessA!#REF!</definedName>
    <definedName name="teste_6" localSheetId="3">[2]PessA!#REF!</definedName>
    <definedName name="teste_6" localSheetId="7">[2]PessA!#REF!</definedName>
    <definedName name="teste_6">[2]PessA!#REF!</definedName>
    <definedName name="teste_6_4" localSheetId="3">[2]PessA!#REF!</definedName>
    <definedName name="teste_6_4" localSheetId="7">[2]PessA!#REF!</definedName>
    <definedName name="teste_6_4">[2]PessA!#REF!</definedName>
    <definedName name="tic">NA()</definedName>
    <definedName name="tic_8">NA()</definedName>
    <definedName name="TID" localSheetId="3">#REF!</definedName>
    <definedName name="TID" localSheetId="7">#REF!</definedName>
    <definedName name="TID">#REF!</definedName>
    <definedName name="TID_2" localSheetId="3">#REF!</definedName>
    <definedName name="TID_2" localSheetId="7">#REF!</definedName>
    <definedName name="TID_2">#REF!</definedName>
    <definedName name="_xlnm.Print_Titles" localSheetId="3">CRONOGRAMA!$1:$9</definedName>
    <definedName name="_xlnm.Print_Titles" localSheetId="4">MEMÓRIA!$1:$5</definedName>
    <definedName name="_xlnm.Print_Titles" localSheetId="2">ORÇAMENTO!$1:$7</definedName>
    <definedName name="_xlnm.Print_Titles" localSheetId="1">RESUMO!$1:$6</definedName>
    <definedName name="tjc" localSheetId="3">#REF!</definedName>
    <definedName name="tjc" localSheetId="7">#REF!</definedName>
    <definedName name="tjc">#REF!</definedName>
    <definedName name="tjf" localSheetId="3">#REF!</definedName>
    <definedName name="tjf" localSheetId="7">#REF!</definedName>
    <definedName name="tjf">#REF!</definedName>
    <definedName name="tlc" localSheetId="3">#REF!</definedName>
    <definedName name="tlc" localSheetId="7">#REF!</definedName>
    <definedName name="tlc">#REF!</definedName>
    <definedName name="tlf" localSheetId="3">#REF!</definedName>
    <definedName name="tlf" localSheetId="7">#REF!</definedName>
    <definedName name="tlf">#REF!</definedName>
    <definedName name="tnp1_2" localSheetId="3">#REF!</definedName>
    <definedName name="tnp1_2" localSheetId="7">#REF!</definedName>
    <definedName name="tnp1_2">#REF!</definedName>
    <definedName name="tof" localSheetId="3">#REF!</definedName>
    <definedName name="tof" localSheetId="7">#REF!</definedName>
    <definedName name="tof">#REF!</definedName>
    <definedName name="TOT" localSheetId="3">#REF!</definedName>
    <definedName name="TOT" localSheetId="7">#REF!</definedName>
    <definedName name="TOT">#REF!</definedName>
    <definedName name="TOT_2" localSheetId="3">#REF!</definedName>
    <definedName name="TOT_2" localSheetId="7">#REF!</definedName>
    <definedName name="TOT_2">#REF!</definedName>
    <definedName name="TOTAL_RESUMO">NA()</definedName>
    <definedName name="TotCrP" localSheetId="3">[2]CombLub!#REF!</definedName>
    <definedName name="TotCrP" localSheetId="7">[2]CombLub!#REF!</definedName>
    <definedName name="TotCrP">[2]CombLub!#REF!</definedName>
    <definedName name="TotCrP_1" localSheetId="3">[2]CombLub!#REF!</definedName>
    <definedName name="TotCrP_1" localSheetId="7">[2]CombLub!#REF!</definedName>
    <definedName name="TotCrP_1">[2]CombLub!#REF!</definedName>
    <definedName name="TotCrP_1_4" localSheetId="3">[2]CombLub!#REF!</definedName>
    <definedName name="TotCrP_1_4" localSheetId="7">[2]CombLub!#REF!</definedName>
    <definedName name="TotCrP_1_4">[2]CombLub!#REF!</definedName>
    <definedName name="TotCrP_4" localSheetId="3">[2]CombLub!#REF!</definedName>
    <definedName name="TotCrP_4" localSheetId="7">[2]CombLub!#REF!</definedName>
    <definedName name="TotCrP_4">[2]CombLub!#REF!</definedName>
    <definedName name="TotCrP_6" localSheetId="3">[2]CombLub!#REF!</definedName>
    <definedName name="TotCrP_6" localSheetId="7">[2]CombLub!#REF!</definedName>
    <definedName name="TotCrP_6">[2]CombLub!#REF!</definedName>
    <definedName name="TotCrP_6_4" localSheetId="3">[2]CombLub!#REF!</definedName>
    <definedName name="TotCrP_6_4" localSheetId="7">[2]CombLub!#REF!</definedName>
    <definedName name="TotCrP_6_4">[2]CombLub!#REF!</definedName>
    <definedName name="TotUSM" localSheetId="3">[2]CombLub!#REF!</definedName>
    <definedName name="TotUSM" localSheetId="7">[2]CombLub!#REF!</definedName>
    <definedName name="TotUSM">[2]CombLub!#REF!</definedName>
    <definedName name="TotUSM_1" localSheetId="3">[2]CombLub!#REF!</definedName>
    <definedName name="TotUSM_1" localSheetId="7">[2]CombLub!#REF!</definedName>
    <definedName name="TotUSM_1">[2]CombLub!#REF!</definedName>
    <definedName name="TotUSM_1_4" localSheetId="3">[2]CombLub!#REF!</definedName>
    <definedName name="TotUSM_1_4" localSheetId="7">[2]CombLub!#REF!</definedName>
    <definedName name="TotUSM_1_4">[2]CombLub!#REF!</definedName>
    <definedName name="TotUSM_4" localSheetId="3">[2]CombLub!#REF!</definedName>
    <definedName name="TotUSM_4" localSheetId="7">[2]CombLub!#REF!</definedName>
    <definedName name="TotUSM_4">[2]CombLub!#REF!</definedName>
    <definedName name="TotUSM_6" localSheetId="3">[2]CombLub!#REF!</definedName>
    <definedName name="TotUSM_6" localSheetId="7">[2]CombLub!#REF!</definedName>
    <definedName name="TotUSM_6">[2]CombLub!#REF!</definedName>
    <definedName name="TotUSM_6_4" localSheetId="3">[2]CombLub!#REF!</definedName>
    <definedName name="TotUSM_6_4" localSheetId="7">[2]CombLub!#REF!</definedName>
    <definedName name="TotUSM_6_4">[2]CombLub!#REF!</definedName>
    <definedName name="tp6_12" localSheetId="3">#REF!</definedName>
    <definedName name="tp6_12" localSheetId="7">#REF!</definedName>
    <definedName name="tp6_12">#REF!</definedName>
    <definedName name="tp6_16" localSheetId="3">#REF!</definedName>
    <definedName name="tp6_16" localSheetId="7">#REF!</definedName>
    <definedName name="tp6_16">#REF!</definedName>
    <definedName name="TPI" localSheetId="3">#REF!</definedName>
    <definedName name="TPI" localSheetId="7">#REF!</definedName>
    <definedName name="TPI">#REF!</definedName>
    <definedName name="tpl1_2" localSheetId="3">#REF!</definedName>
    <definedName name="tpl1_2" localSheetId="7">#REF!</definedName>
    <definedName name="tpl1_2">#REF!</definedName>
    <definedName name="tpmfs" localSheetId="3">#REF!</definedName>
    <definedName name="tpmfs" localSheetId="7">#REF!</definedName>
    <definedName name="tpmfs">#REF!</definedName>
    <definedName name="TPP" localSheetId="3">#REF!</definedName>
    <definedName name="TPP" localSheetId="7">#REF!</definedName>
    <definedName name="TPP">#REF!</definedName>
    <definedName name="transp" localSheetId="3">[2]Tel!#REF!</definedName>
    <definedName name="transp" localSheetId="7">[2]Tel!#REF!</definedName>
    <definedName name="transp">[2]Tel!#REF!</definedName>
    <definedName name="transp_1" localSheetId="3">[2]Tel!#REF!</definedName>
    <definedName name="transp_1" localSheetId="7">[2]Tel!#REF!</definedName>
    <definedName name="transp_1">[2]Tel!#REF!</definedName>
    <definedName name="transp_1_4" localSheetId="3">[2]Tel!#REF!</definedName>
    <definedName name="transp_1_4" localSheetId="7">[2]Tel!#REF!</definedName>
    <definedName name="transp_1_4">[2]Tel!#REF!</definedName>
    <definedName name="transp_4" localSheetId="3">[2]Tel!#REF!</definedName>
    <definedName name="transp_4" localSheetId="7">[2]Tel!#REF!</definedName>
    <definedName name="transp_4">[2]Tel!#REF!</definedName>
    <definedName name="transp_6" localSheetId="3">[2]Tel!#REF!</definedName>
    <definedName name="transp_6" localSheetId="7">[2]Tel!#REF!</definedName>
    <definedName name="transp_6">[2]Tel!#REF!</definedName>
    <definedName name="transp_6_4" localSheetId="3">[2]Tel!#REF!</definedName>
    <definedName name="transp_6_4" localSheetId="7">[2]Tel!#REF!</definedName>
    <definedName name="transp_6_4">[2]Tel!#REF!</definedName>
    <definedName name="trb" localSheetId="3">#REF!</definedName>
    <definedName name="trb" localSheetId="7">#REF!</definedName>
    <definedName name="trb">#REF!</definedName>
    <definedName name="tre" localSheetId="3">#REF!</definedName>
    <definedName name="tre" localSheetId="7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3">#REF!</definedName>
    <definedName name="ttc" localSheetId="7">#REF!</definedName>
    <definedName name="ttc">#REF!</definedName>
    <definedName name="tte" localSheetId="3">#REF!</definedName>
    <definedName name="tte" localSheetId="7">#REF!</definedName>
    <definedName name="tte">#REF!</definedName>
    <definedName name="tus" localSheetId="3">#REF!</definedName>
    <definedName name="tus" localSheetId="7">#REF!</definedName>
    <definedName name="tus">#REF!</definedName>
    <definedName name="tuso" localSheetId="3">#REF!</definedName>
    <definedName name="tuso" localSheetId="7">#REF!</definedName>
    <definedName name="tuso">#REF!</definedName>
    <definedName name="USS" localSheetId="3">#REF!</definedName>
    <definedName name="USS" localSheetId="7">#REF!</definedName>
    <definedName name="USS">#REF!</definedName>
    <definedName name="v60120_" localSheetId="3">#REF!</definedName>
    <definedName name="v60120_" localSheetId="7">#REF!</definedName>
    <definedName name="v60120_">#REF!</definedName>
    <definedName name="Vaz_Tot" localSheetId="3">#REF!</definedName>
    <definedName name="Vaz_Tot" localSheetId="7">#REF!</definedName>
    <definedName name="Vaz_Tot">#REF!</definedName>
    <definedName name="Vaz_Tot_1" localSheetId="3">#REF!</definedName>
    <definedName name="Vaz_Tot_1" localSheetId="7">#REF!</definedName>
    <definedName name="Vaz_Tot_1">#REF!</definedName>
    <definedName name="Vaz_Tot_1_4" localSheetId="3">#REF!</definedName>
    <definedName name="Vaz_Tot_1_4" localSheetId="7">#REF!</definedName>
    <definedName name="Vaz_Tot_1_4">#REF!</definedName>
    <definedName name="Vaz_Tot_4" localSheetId="3">#REF!</definedName>
    <definedName name="Vaz_Tot_4" localSheetId="7">#REF!</definedName>
    <definedName name="Vaz_Tot_4">#REF!</definedName>
    <definedName name="Vaz_Tot_6" localSheetId="3">#REF!</definedName>
    <definedName name="Vaz_Tot_6" localSheetId="7">#REF!</definedName>
    <definedName name="Vaz_Tot_6">#REF!</definedName>
    <definedName name="Vaz_Tot_6_4" localSheetId="3">#REF!</definedName>
    <definedName name="Vaz_Tot_6_4" localSheetId="7">#REF!</definedName>
    <definedName name="Vaz_Tot_6_4">#REF!</definedName>
    <definedName name="VazMed_ha" localSheetId="3">#REF!</definedName>
    <definedName name="VazMed_ha" localSheetId="7">#REF!</definedName>
    <definedName name="VazMed_ha">#REF!</definedName>
    <definedName name="VazMed_ha_1" localSheetId="3">#REF!</definedName>
    <definedName name="VazMed_ha_1" localSheetId="7">#REF!</definedName>
    <definedName name="VazMed_ha_1">#REF!</definedName>
    <definedName name="VazMed_ha_1_4" localSheetId="3">#REF!</definedName>
    <definedName name="VazMed_ha_1_4" localSheetId="7">#REF!</definedName>
    <definedName name="VazMed_ha_1_4">#REF!</definedName>
    <definedName name="VazMed_ha_4" localSheetId="3">#REF!</definedName>
    <definedName name="VazMed_ha_4" localSheetId="7">#REF!</definedName>
    <definedName name="VazMed_ha_4">#REF!</definedName>
    <definedName name="VazMed_ha_6" localSheetId="3">#REF!</definedName>
    <definedName name="VazMed_ha_6" localSheetId="7">#REF!</definedName>
    <definedName name="VazMed_ha_6">#REF!</definedName>
    <definedName name="VazMed_ha_6_4" localSheetId="3">#REF!</definedName>
    <definedName name="VazMed_ha_6_4" localSheetId="7">#REF!</definedName>
    <definedName name="VazMed_ha_6_4">#REF!</definedName>
    <definedName name="VII" localSheetId="3">#REF!</definedName>
    <definedName name="VII" localSheetId="7">#REF!</definedName>
    <definedName name="VII">#REF!</definedName>
    <definedName name="VIP" localSheetId="3">#REF!</definedName>
    <definedName name="VIP" localSheetId="7">#REF!</definedName>
    <definedName name="VIP">#REF!</definedName>
    <definedName name="VLR" localSheetId="3">#REF!</definedName>
    <definedName name="VLR" localSheetId="7">#REF!</definedName>
    <definedName name="VLR">#REF!</definedName>
    <definedName name="Vol_distrib" localSheetId="3">#REF!</definedName>
    <definedName name="Vol_distrib" localSheetId="7">#REF!</definedName>
    <definedName name="Vol_distrib">#REF!</definedName>
    <definedName name="Vol_distrib_1" localSheetId="3">#REF!</definedName>
    <definedName name="Vol_distrib_1" localSheetId="7">#REF!</definedName>
    <definedName name="Vol_distrib_1">#REF!</definedName>
    <definedName name="Vol_distrib_1_4" localSheetId="3">#REF!</definedName>
    <definedName name="Vol_distrib_1_4" localSheetId="7">#REF!</definedName>
    <definedName name="Vol_distrib_1_4">#REF!</definedName>
    <definedName name="Vol_distrib_4" localSheetId="3">#REF!</definedName>
    <definedName name="Vol_distrib_4" localSheetId="7">#REF!</definedName>
    <definedName name="Vol_distrib_4">#REF!</definedName>
    <definedName name="Vol_distrib_6" localSheetId="3">#REF!</definedName>
    <definedName name="Vol_distrib_6" localSheetId="7">#REF!</definedName>
    <definedName name="Vol_distrib_6">#REF!</definedName>
    <definedName name="Vol_distrib_6_4" localSheetId="3">#REF!</definedName>
    <definedName name="Vol_distrib_6_4" localSheetId="7">#REF!</definedName>
    <definedName name="Vol_distrib_6_4">#REF!</definedName>
    <definedName name="vsb" localSheetId="3">#REF!</definedName>
    <definedName name="vsb" localSheetId="7">#REF!</definedName>
    <definedName name="vsb">#REF!</definedName>
    <definedName name="w">NA()</definedName>
    <definedName name="zar" localSheetId="3">#REF!</definedName>
    <definedName name="zar" localSheetId="7">#REF!</definedName>
    <definedName name="zar">#REF!</definedName>
  </definedNames>
  <calcPr calcId="162913"/>
</workbook>
</file>

<file path=xl/calcChain.xml><?xml version="1.0" encoding="utf-8"?>
<calcChain xmlns="http://schemas.openxmlformats.org/spreadsheetml/2006/main">
  <c r="E47" i="27" l="1"/>
  <c r="M294" i="25" l="1"/>
  <c r="B294" i="25"/>
  <c r="B118" i="26"/>
  <c r="B112" i="26"/>
  <c r="M22" i="28" l="1"/>
  <c r="B9" i="27" l="1"/>
  <c r="M298" i="25"/>
  <c r="B298" i="25"/>
  <c r="M290" i="25"/>
  <c r="B290" i="25"/>
  <c r="M286" i="25"/>
  <c r="B286" i="25"/>
  <c r="M282" i="25"/>
  <c r="B282" i="25"/>
  <c r="B121" i="26"/>
  <c r="B120" i="26"/>
  <c r="B119" i="26"/>
  <c r="B117" i="26"/>
  <c r="B116" i="26"/>
  <c r="B115" i="26"/>
  <c r="B114" i="26"/>
  <c r="M278" i="25"/>
  <c r="B278" i="25"/>
  <c r="I38" i="73"/>
  <c r="I34" i="73"/>
  <c r="I33" i="73"/>
  <c r="I32" i="73"/>
  <c r="I31" i="73"/>
  <c r="I30" i="73"/>
  <c r="I29" i="73"/>
  <c r="I28" i="73"/>
  <c r="I16" i="73"/>
  <c r="I15" i="73"/>
  <c r="I14" i="73"/>
  <c r="I13" i="73"/>
  <c r="I12" i="73"/>
  <c r="I11" i="73"/>
  <c r="I10" i="73"/>
  <c r="I36" i="73" l="1"/>
  <c r="G64" i="73" s="1"/>
  <c r="I18" i="73"/>
  <c r="E102" i="73" s="1"/>
  <c r="E64" i="73"/>
  <c r="I20" i="73"/>
  <c r="I85" i="73"/>
  <c r="E80" i="73"/>
  <c r="E44" i="73"/>
  <c r="E46" i="73" s="1"/>
  <c r="O19" i="67"/>
  <c r="O20" i="67"/>
  <c r="O18" i="67"/>
  <c r="O11" i="67"/>
  <c r="O12" i="67"/>
  <c r="O10" i="67"/>
  <c r="E50" i="73" l="1"/>
  <c r="H281" i="25" s="1"/>
  <c r="L278" i="25" s="1"/>
  <c r="G115" i="26" s="1"/>
  <c r="H277" i="25"/>
  <c r="G80" i="73"/>
  <c r="I54" i="73"/>
  <c r="E60" i="73" s="1"/>
  <c r="H285" i="25" s="1"/>
  <c r="L282" i="25" s="1"/>
  <c r="G116" i="26" s="1"/>
  <c r="H269" i="25"/>
  <c r="L267" i="25" s="1"/>
  <c r="G112" i="26" s="1"/>
  <c r="I64" i="73"/>
  <c r="G102" i="73"/>
  <c r="I102" i="73" s="1"/>
  <c r="H273" i="25"/>
  <c r="H67" i="73"/>
  <c r="I69" i="73" s="1"/>
  <c r="H66" i="73"/>
  <c r="I80" i="73"/>
  <c r="L20" i="67"/>
  <c r="L19" i="67"/>
  <c r="L18" i="67"/>
  <c r="L12" i="67"/>
  <c r="L11" i="67"/>
  <c r="L10" i="67"/>
  <c r="J304" i="25" l="1"/>
  <c r="H301" i="25"/>
  <c r="L298" i="25" s="1"/>
  <c r="L286" i="25"/>
  <c r="G117" i="26" s="1"/>
  <c r="E76" i="73"/>
  <c r="H289" i="25" s="1"/>
  <c r="E75" i="73"/>
  <c r="H293" i="25" s="1"/>
  <c r="L290" i="25" s="1"/>
  <c r="G118" i="26" s="1"/>
  <c r="H83" i="73"/>
  <c r="H82" i="73"/>
  <c r="I86" i="73" s="1"/>
  <c r="I89" i="73" s="1"/>
  <c r="I91" i="73" s="1"/>
  <c r="E97" i="73" s="1"/>
  <c r="H297" i="25" s="1"/>
  <c r="L294" i="25" s="1"/>
  <c r="G119" i="26" s="1"/>
  <c r="N20" i="67"/>
  <c r="P20" i="67" s="1"/>
  <c r="N19" i="67"/>
  <c r="P19" i="67" s="1"/>
  <c r="N18" i="67"/>
  <c r="P18" i="67" s="1"/>
  <c r="N12" i="67"/>
  <c r="P12" i="67" s="1"/>
  <c r="N11" i="67"/>
  <c r="P11" i="67" s="1"/>
  <c r="N10" i="67"/>
  <c r="P10" i="67" s="1"/>
  <c r="I19" i="67"/>
  <c r="I20" i="67"/>
  <c r="I18" i="67"/>
  <c r="I12" i="67"/>
  <c r="J12" i="67" s="1"/>
  <c r="I11" i="67"/>
  <c r="J11" i="67" s="1"/>
  <c r="K11" i="67" s="1"/>
  <c r="W11" i="67" s="1"/>
  <c r="I10" i="67"/>
  <c r="J10" i="67" s="1"/>
  <c r="P6" i="67"/>
  <c r="K12" i="67" l="1"/>
  <c r="W12" i="67" s="1"/>
  <c r="K10" i="67"/>
  <c r="W10" i="67" s="1"/>
  <c r="J18" i="67"/>
  <c r="K18" i="67" s="1"/>
  <c r="W18" i="67" s="1"/>
  <c r="J20" i="67"/>
  <c r="K20" i="67" s="1"/>
  <c r="W20" i="67" s="1"/>
  <c r="J19" i="67"/>
  <c r="K19" i="67" s="1"/>
  <c r="W19" i="67" s="1"/>
  <c r="Q20" i="67"/>
  <c r="Q19" i="67"/>
  <c r="Q18" i="67"/>
  <c r="Q12" i="67"/>
  <c r="R12" i="67" s="1"/>
  <c r="Q11" i="67"/>
  <c r="R11" i="67" s="1"/>
  <c r="Q10" i="67"/>
  <c r="S11" i="67" l="1"/>
  <c r="V11" i="67" s="1"/>
  <c r="X11" i="67" s="1"/>
  <c r="R20" i="67"/>
  <c r="S20" i="67" s="1"/>
  <c r="R19" i="67"/>
  <c r="S19" i="67" s="1"/>
  <c r="R18" i="67"/>
  <c r="S18" i="67" s="1"/>
  <c r="S12" i="67"/>
  <c r="V12" i="67" s="1"/>
  <c r="X12" i="67" s="1"/>
  <c r="R10" i="67"/>
  <c r="S10" i="67" s="1"/>
  <c r="V10" i="67" s="1"/>
  <c r="X10" i="67" s="1"/>
  <c r="M21" i="28" l="1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B22" i="27" l="1"/>
  <c r="B27" i="27"/>
  <c r="A246" i="65"/>
  <c r="A239" i="65"/>
  <c r="A233" i="65"/>
  <c r="A226" i="65"/>
  <c r="K238" i="65"/>
  <c r="K237" i="65"/>
  <c r="K236" i="65"/>
  <c r="K232" i="65"/>
  <c r="K231" i="65"/>
  <c r="K230" i="65"/>
  <c r="K229" i="65"/>
  <c r="K158" i="65"/>
  <c r="K47" i="65" l="1"/>
  <c r="K46" i="65"/>
  <c r="K45" i="65"/>
  <c r="K29" i="65"/>
  <c r="K30" i="65"/>
  <c r="K28" i="65"/>
  <c r="K19" i="65"/>
  <c r="P159" i="25"/>
  <c r="O159" i="25"/>
  <c r="H159" i="25"/>
  <c r="H142" i="25"/>
  <c r="J142" i="25" s="1"/>
  <c r="H141" i="25"/>
  <c r="J141" i="25" s="1"/>
  <c r="P131" i="25"/>
  <c r="O131" i="25"/>
  <c r="H131" i="25"/>
  <c r="P130" i="25"/>
  <c r="O130" i="25"/>
  <c r="H130" i="25"/>
  <c r="H150" i="25"/>
  <c r="L270" i="25"/>
  <c r="J305" i="25"/>
  <c r="L302" i="25" s="1"/>
  <c r="P305" i="25"/>
  <c r="O305" i="25"/>
  <c r="P304" i="25"/>
  <c r="O304" i="25"/>
  <c r="P303" i="25"/>
  <c r="O303" i="25"/>
  <c r="M302" i="25"/>
  <c r="B302" i="25"/>
  <c r="B113" i="26"/>
  <c r="P272" i="25"/>
  <c r="O272" i="25"/>
  <c r="P277" i="25"/>
  <c r="O277" i="25"/>
  <c r="P276" i="25"/>
  <c r="O276" i="25"/>
  <c r="P275" i="25"/>
  <c r="O275" i="25"/>
  <c r="M274" i="25"/>
  <c r="B274" i="25"/>
  <c r="P273" i="25"/>
  <c r="O273" i="25"/>
  <c r="P271" i="25"/>
  <c r="O271" i="25"/>
  <c r="M270" i="25"/>
  <c r="B270" i="25"/>
  <c r="P269" i="25"/>
  <c r="O269" i="25"/>
  <c r="P268" i="25"/>
  <c r="O268" i="25"/>
  <c r="M267" i="25"/>
  <c r="B267" i="25"/>
  <c r="P266" i="25"/>
  <c r="O266" i="25"/>
  <c r="B266" i="25"/>
  <c r="B111" i="26"/>
  <c r="B188" i="26"/>
  <c r="P324" i="25"/>
  <c r="O324" i="25"/>
  <c r="P323" i="25"/>
  <c r="O323" i="25"/>
  <c r="I323" i="25"/>
  <c r="I324" i="25" s="1"/>
  <c r="L321" i="25" s="1"/>
  <c r="P322" i="25"/>
  <c r="O322" i="25"/>
  <c r="M321" i="25"/>
  <c r="B321" i="25"/>
  <c r="B192" i="26"/>
  <c r="B191" i="26"/>
  <c r="B190" i="26"/>
  <c r="B189" i="26"/>
  <c r="B187" i="26"/>
  <c r="B186" i="26"/>
  <c r="B185" i="26"/>
  <c r="B184" i="26"/>
  <c r="B183" i="26"/>
  <c r="B182" i="26"/>
  <c r="B181" i="26"/>
  <c r="B180" i="26"/>
  <c r="B179" i="26"/>
  <c r="B178" i="26"/>
  <c r="B177" i="26"/>
  <c r="A225" i="65" s="1"/>
  <c r="P314" i="25"/>
  <c r="O314" i="25"/>
  <c r="I314" i="25"/>
  <c r="P315" i="25"/>
  <c r="O315" i="25"/>
  <c r="I315" i="25"/>
  <c r="P188" i="25"/>
  <c r="O188" i="25"/>
  <c r="G188" i="25"/>
  <c r="B56" i="26"/>
  <c r="G187" i="25"/>
  <c r="H187" i="25" s="1"/>
  <c r="P191" i="25"/>
  <c r="O191" i="25"/>
  <c r="P190" i="25"/>
  <c r="O190" i="25"/>
  <c r="I190" i="25"/>
  <c r="I191" i="25" s="1"/>
  <c r="P189" i="25"/>
  <c r="O189" i="25"/>
  <c r="G189" i="25"/>
  <c r="P187" i="25"/>
  <c r="O187" i="25"/>
  <c r="P186" i="25"/>
  <c r="O186" i="25"/>
  <c r="M185" i="25"/>
  <c r="F45" i="65" s="1"/>
  <c r="B185" i="25"/>
  <c r="B57" i="26"/>
  <c r="B55" i="26"/>
  <c r="B54" i="26"/>
  <c r="B53" i="26"/>
  <c r="P157" i="25"/>
  <c r="O157" i="25"/>
  <c r="H157" i="25"/>
  <c r="P158" i="25"/>
  <c r="O158" i="25"/>
  <c r="H158" i="25"/>
  <c r="K157" i="65"/>
  <c r="B146" i="26"/>
  <c r="B145" i="26"/>
  <c r="B144" i="26"/>
  <c r="I309" i="25"/>
  <c r="I310" i="25" s="1"/>
  <c r="E235" i="25"/>
  <c r="E247" i="25" s="1"/>
  <c r="E236" i="25"/>
  <c r="H236" i="25" s="1"/>
  <c r="P236" i="25"/>
  <c r="O236" i="25"/>
  <c r="P237" i="25"/>
  <c r="O237" i="25"/>
  <c r="H237" i="25"/>
  <c r="G121" i="26" l="1"/>
  <c r="G120" i="26"/>
  <c r="G113" i="26"/>
  <c r="G177" i="26"/>
  <c r="G187" i="26" s="1"/>
  <c r="E244" i="65"/>
  <c r="J244" i="65" s="1"/>
  <c r="E242" i="65"/>
  <c r="J242" i="65" s="1"/>
  <c r="E237" i="65"/>
  <c r="J237" i="65" s="1"/>
  <c r="L237" i="65" s="1"/>
  <c r="E238" i="65"/>
  <c r="J238" i="65" s="1"/>
  <c r="L238" i="65" s="1"/>
  <c r="E236" i="65"/>
  <c r="J236" i="65" s="1"/>
  <c r="L236" i="65" s="1"/>
  <c r="E245" i="65"/>
  <c r="J245" i="65" s="1"/>
  <c r="E230" i="65"/>
  <c r="J230" i="65" s="1"/>
  <c r="L230" i="65" s="1"/>
  <c r="E231" i="65"/>
  <c r="E250" i="65"/>
  <c r="J250" i="65" s="1"/>
  <c r="E229" i="65"/>
  <c r="J229" i="65" s="1"/>
  <c r="L229" i="65" s="1"/>
  <c r="E232" i="65"/>
  <c r="J232" i="65" s="1"/>
  <c r="L232" i="65" s="1"/>
  <c r="E251" i="65"/>
  <c r="J251" i="65" s="1"/>
  <c r="E249" i="65"/>
  <c r="J249" i="65" s="1"/>
  <c r="E243" i="65"/>
  <c r="J243" i="65" s="1"/>
  <c r="F250" i="65"/>
  <c r="F244" i="65"/>
  <c r="F237" i="65"/>
  <c r="F231" i="65"/>
  <c r="F251" i="65"/>
  <c r="F243" i="65"/>
  <c r="F238" i="65"/>
  <c r="F230" i="65"/>
  <c r="F232" i="65"/>
  <c r="F242" i="65"/>
  <c r="F245" i="65"/>
  <c r="F249" i="65"/>
  <c r="F236" i="65"/>
  <c r="F229" i="65"/>
  <c r="J231" i="65"/>
  <c r="L231" i="65" s="1"/>
  <c r="F46" i="65"/>
  <c r="F36" i="65"/>
  <c r="F47" i="65"/>
  <c r="F30" i="65"/>
  <c r="F19" i="65"/>
  <c r="F28" i="65"/>
  <c r="F29" i="65"/>
  <c r="L274" i="25"/>
  <c r="G114" i="26" s="1"/>
  <c r="P302" i="25"/>
  <c r="O302" i="25"/>
  <c r="J189" i="25"/>
  <c r="J187" i="25"/>
  <c r="P270" i="25"/>
  <c r="O270" i="25"/>
  <c r="J188" i="25"/>
  <c r="P321" i="25"/>
  <c r="O321" i="25"/>
  <c r="J190" i="25"/>
  <c r="L185" i="25"/>
  <c r="F218" i="25"/>
  <c r="F216" i="25"/>
  <c r="I216" i="25" s="1"/>
  <c r="H204" i="25"/>
  <c r="H203" i="25"/>
  <c r="L233" i="65" l="1"/>
  <c r="G188" i="26"/>
  <c r="G185" i="26"/>
  <c r="G186" i="26" s="1"/>
  <c r="G178" i="26"/>
  <c r="G179" i="26"/>
  <c r="G183" i="26" s="1"/>
  <c r="L226" i="65"/>
  <c r="G53" i="26"/>
  <c r="G55" i="26" s="1"/>
  <c r="E46" i="65"/>
  <c r="J46" i="65" s="1"/>
  <c r="L46" i="65" s="1"/>
  <c r="E30" i="65"/>
  <c r="J30" i="65" s="1"/>
  <c r="L30" i="65" s="1"/>
  <c r="E45" i="65"/>
  <c r="E47" i="65"/>
  <c r="J47" i="65" s="1"/>
  <c r="L47" i="65" s="1"/>
  <c r="E29" i="65"/>
  <c r="J29" i="65" s="1"/>
  <c r="L29" i="65" s="1"/>
  <c r="E28" i="65"/>
  <c r="E19" i="65"/>
  <c r="E36" i="65"/>
  <c r="J36" i="65" s="1"/>
  <c r="O274" i="25"/>
  <c r="P274" i="25"/>
  <c r="O185" i="25"/>
  <c r="P185" i="25"/>
  <c r="H156" i="25"/>
  <c r="H155" i="25"/>
  <c r="H160" i="25" l="1"/>
  <c r="H171" i="25" s="1"/>
  <c r="J171" i="25" s="1"/>
  <c r="G180" i="26"/>
  <c r="G184" i="26"/>
  <c r="G181" i="26"/>
  <c r="G182" i="26"/>
  <c r="P267" i="25"/>
  <c r="O267" i="25"/>
  <c r="G57" i="26"/>
  <c r="G54" i="26"/>
  <c r="J45" i="65"/>
  <c r="L45" i="65" s="1"/>
  <c r="G56" i="26"/>
  <c r="J28" i="65"/>
  <c r="L28" i="65" s="1"/>
  <c r="H112" i="25"/>
  <c r="H111" i="25"/>
  <c r="B29" i="27" l="1"/>
  <c r="B28" i="27"/>
  <c r="B32" i="63" s="1"/>
  <c r="G330" i="25"/>
  <c r="L327" i="25" s="1"/>
  <c r="G195" i="26" s="1"/>
  <c r="P330" i="25"/>
  <c r="O330" i="25"/>
  <c r="P329" i="25"/>
  <c r="O329" i="25"/>
  <c r="P328" i="25"/>
  <c r="O328" i="25"/>
  <c r="M327" i="25"/>
  <c r="B327" i="25"/>
  <c r="P326" i="25"/>
  <c r="O326" i="25"/>
  <c r="B326" i="25"/>
  <c r="P325" i="25"/>
  <c r="O325" i="25"/>
  <c r="B325" i="25"/>
  <c r="B194" i="26"/>
  <c r="B195" i="26"/>
  <c r="B193" i="26"/>
  <c r="P327" i="25" l="1"/>
  <c r="O327" i="25"/>
  <c r="A50" i="65"/>
  <c r="A14" i="65"/>
  <c r="B7" i="25"/>
  <c r="B6" i="25"/>
  <c r="B30" i="26"/>
  <c r="B31" i="26"/>
  <c r="B32" i="26"/>
  <c r="B33" i="26"/>
  <c r="A8" i="65" s="1"/>
  <c r="B35" i="26"/>
  <c r="B36" i="26"/>
  <c r="B39" i="26"/>
  <c r="B37" i="26"/>
  <c r="B38" i="26"/>
  <c r="B165" i="26"/>
  <c r="A191" i="65" s="1"/>
  <c r="B122" i="26"/>
  <c r="B95" i="26"/>
  <c r="A101" i="65" s="1"/>
  <c r="B89" i="26"/>
  <c r="A90" i="65" s="1"/>
  <c r="B86" i="26"/>
  <c r="B85" i="26"/>
  <c r="B83" i="26"/>
  <c r="B64" i="26"/>
  <c r="A49" i="65" s="1"/>
  <c r="B40" i="26"/>
  <c r="A13" i="65" s="1"/>
  <c r="B34" i="26"/>
  <c r="B29" i="26"/>
  <c r="A7" i="65" s="1"/>
  <c r="B28" i="26"/>
  <c r="B17" i="26"/>
  <c r="B18" i="26"/>
  <c r="B16" i="26"/>
  <c r="B8" i="26"/>
  <c r="B7" i="27" l="1"/>
  <c r="B24" i="27" l="1"/>
  <c r="B25" i="27"/>
  <c r="B26" i="27"/>
  <c r="B23" i="27"/>
  <c r="B29" i="63" s="1"/>
  <c r="B21" i="27"/>
  <c r="B20" i="27"/>
  <c r="B19" i="27"/>
  <c r="B18" i="27"/>
  <c r="AQ19" i="39"/>
  <c r="AO19" i="39"/>
  <c r="B141" i="26"/>
  <c r="A146" i="65" s="1"/>
  <c r="B140" i="26"/>
  <c r="A136" i="65" s="1"/>
  <c r="B139" i="26"/>
  <c r="A130" i="65" s="1"/>
  <c r="B138" i="26"/>
  <c r="A120" i="65" s="1"/>
  <c r="B164" i="26"/>
  <c r="A184" i="65" s="1"/>
  <c r="B163" i="26"/>
  <c r="A172" i="65" s="1"/>
  <c r="B162" i="26"/>
  <c r="A166" i="65" s="1"/>
  <c r="B161" i="26"/>
  <c r="A154" i="65" s="1"/>
  <c r="K206" i="65"/>
  <c r="K207" i="65"/>
  <c r="K199" i="65"/>
  <c r="K200" i="65"/>
  <c r="K201" i="65"/>
  <c r="K205" i="65"/>
  <c r="K196" i="65"/>
  <c r="K197" i="65"/>
  <c r="K198" i="65"/>
  <c r="K195" i="65"/>
  <c r="K170" i="65"/>
  <c r="K171" i="65"/>
  <c r="K163" i="65"/>
  <c r="K164" i="65"/>
  <c r="K165" i="65"/>
  <c r="K169" i="65"/>
  <c r="K160" i="65"/>
  <c r="K161" i="65"/>
  <c r="K162" i="65"/>
  <c r="K159" i="65"/>
  <c r="K134" i="65"/>
  <c r="K135" i="65"/>
  <c r="K127" i="65"/>
  <c r="K128" i="65"/>
  <c r="K129" i="65"/>
  <c r="K133" i="65"/>
  <c r="K124" i="65"/>
  <c r="K125" i="65"/>
  <c r="K126" i="65"/>
  <c r="K123" i="65"/>
  <c r="K106" i="65"/>
  <c r="K107" i="65"/>
  <c r="K108" i="65"/>
  <c r="K109" i="65"/>
  <c r="K105" i="65"/>
  <c r="K95" i="65"/>
  <c r="K94" i="65"/>
  <c r="O230" i="25" l="1"/>
  <c r="P230" i="25"/>
  <c r="O231" i="25"/>
  <c r="P231" i="25"/>
  <c r="O232" i="25"/>
  <c r="P232" i="25"/>
  <c r="O234" i="25"/>
  <c r="P234" i="25"/>
  <c r="O235" i="25"/>
  <c r="P235" i="25"/>
  <c r="O238" i="25"/>
  <c r="P238" i="25"/>
  <c r="O239" i="25"/>
  <c r="P239" i="25"/>
  <c r="O241" i="25"/>
  <c r="P241" i="25"/>
  <c r="O242" i="25"/>
  <c r="P242" i="25"/>
  <c r="O243" i="25"/>
  <c r="P243" i="25"/>
  <c r="O244" i="25"/>
  <c r="P244" i="25"/>
  <c r="O246" i="25"/>
  <c r="P246" i="25"/>
  <c r="O247" i="25"/>
  <c r="P247" i="25"/>
  <c r="O248" i="25"/>
  <c r="P248" i="25"/>
  <c r="O250" i="25"/>
  <c r="P250" i="25"/>
  <c r="O251" i="25"/>
  <c r="P251" i="25"/>
  <c r="O252" i="25"/>
  <c r="P252" i="25"/>
  <c r="O253" i="25"/>
  <c r="P253" i="25"/>
  <c r="O255" i="25"/>
  <c r="P255" i="25"/>
  <c r="O256" i="25"/>
  <c r="P256" i="25"/>
  <c r="O257" i="25"/>
  <c r="P257" i="25"/>
  <c r="O259" i="25"/>
  <c r="P259" i="25"/>
  <c r="O260" i="25"/>
  <c r="P260" i="25"/>
  <c r="O261" i="25"/>
  <c r="P261" i="25"/>
  <c r="O263" i="25"/>
  <c r="P263" i="25"/>
  <c r="O264" i="25"/>
  <c r="P264" i="25"/>
  <c r="O265" i="25"/>
  <c r="P265" i="25"/>
  <c r="O306" i="25"/>
  <c r="P306" i="25"/>
  <c r="O308" i="25"/>
  <c r="P308" i="25"/>
  <c r="O309" i="25"/>
  <c r="P309" i="25"/>
  <c r="O310" i="25"/>
  <c r="P310" i="25"/>
  <c r="O312" i="25"/>
  <c r="P312" i="25"/>
  <c r="O313" i="25"/>
  <c r="P313" i="25"/>
  <c r="O316" i="25"/>
  <c r="P316" i="25"/>
  <c r="O318" i="25"/>
  <c r="P318" i="25"/>
  <c r="O319" i="25"/>
  <c r="P319" i="25"/>
  <c r="O320" i="25"/>
  <c r="P320" i="25"/>
  <c r="O331" i="25"/>
  <c r="P331" i="25"/>
  <c r="M317" i="25"/>
  <c r="M311" i="25"/>
  <c r="M307" i="25"/>
  <c r="M258" i="25"/>
  <c r="M254" i="25"/>
  <c r="M249" i="25"/>
  <c r="M245" i="25"/>
  <c r="M240" i="25"/>
  <c r="M233" i="25"/>
  <c r="M262" i="25"/>
  <c r="B317" i="25"/>
  <c r="B311" i="25"/>
  <c r="B307" i="25"/>
  <c r="B262" i="25"/>
  <c r="B258" i="25"/>
  <c r="B254" i="25"/>
  <c r="B249" i="25"/>
  <c r="B245" i="25"/>
  <c r="B240" i="25"/>
  <c r="B233" i="25"/>
  <c r="B306" i="25"/>
  <c r="B253" i="25"/>
  <c r="B244" i="25"/>
  <c r="B232" i="25"/>
  <c r="B176" i="26"/>
  <c r="A218" i="65" s="1"/>
  <c r="B175" i="26"/>
  <c r="A208" i="65" s="1"/>
  <c r="B174" i="26"/>
  <c r="A202" i="65" s="1"/>
  <c r="B173" i="26"/>
  <c r="A192" i="65" s="1"/>
  <c r="B172" i="26"/>
  <c r="B171" i="26"/>
  <c r="B170" i="26"/>
  <c r="B169" i="26"/>
  <c r="B168" i="26"/>
  <c r="B167" i="26"/>
  <c r="B166" i="26"/>
  <c r="B160" i="26"/>
  <c r="B159" i="26"/>
  <c r="B158" i="26"/>
  <c r="B157" i="26"/>
  <c r="B156" i="26"/>
  <c r="B155" i="26"/>
  <c r="B154" i="26"/>
  <c r="B153" i="26"/>
  <c r="B152" i="26"/>
  <c r="B151" i="26"/>
  <c r="B150" i="26"/>
  <c r="B149" i="26"/>
  <c r="B148" i="26"/>
  <c r="B147" i="26"/>
  <c r="B143" i="26"/>
  <c r="B142" i="26"/>
  <c r="A153" i="65" s="1"/>
  <c r="B137" i="26"/>
  <c r="B136" i="26"/>
  <c r="B135" i="26"/>
  <c r="B134" i="26"/>
  <c r="B133" i="26"/>
  <c r="B132" i="26"/>
  <c r="B131" i="26"/>
  <c r="B130" i="26"/>
  <c r="B129" i="26"/>
  <c r="B128" i="26"/>
  <c r="B127" i="26"/>
  <c r="B126" i="26"/>
  <c r="B125" i="26"/>
  <c r="B124" i="26"/>
  <c r="B123" i="26"/>
  <c r="A119" i="65" s="1"/>
  <c r="B110" i="26"/>
  <c r="B109" i="26"/>
  <c r="B108" i="26"/>
  <c r="A110" i="65" s="1"/>
  <c r="B107" i="26"/>
  <c r="A102" i="65" s="1"/>
  <c r="B106" i="26"/>
  <c r="B105" i="26"/>
  <c r="B104" i="26"/>
  <c r="B103" i="26"/>
  <c r="B102" i="26"/>
  <c r="B101" i="26"/>
  <c r="B100" i="26"/>
  <c r="B99" i="26"/>
  <c r="B98" i="26"/>
  <c r="B97" i="26"/>
  <c r="B96" i="26"/>
  <c r="B94" i="26"/>
  <c r="A96" i="65" s="1"/>
  <c r="B93" i="26"/>
  <c r="A91" i="65" s="1"/>
  <c r="B92" i="26"/>
  <c r="B91" i="26"/>
  <c r="B90" i="26"/>
  <c r="B88" i="26"/>
  <c r="B87" i="26"/>
  <c r="F175" i="65" l="1"/>
  <c r="F158" i="65"/>
  <c r="F176" i="65"/>
  <c r="F157" i="65"/>
  <c r="F188" i="65"/>
  <c r="F187" i="65"/>
  <c r="F179" i="65"/>
  <c r="F183" i="65"/>
  <c r="F163" i="65"/>
  <c r="F162" i="65"/>
  <c r="F164" i="65"/>
  <c r="F178" i="65"/>
  <c r="F182" i="65"/>
  <c r="F171" i="65"/>
  <c r="F169" i="65"/>
  <c r="F161" i="65"/>
  <c r="F159" i="65"/>
  <c r="F181" i="65"/>
  <c r="F170" i="65"/>
  <c r="F165" i="65"/>
  <c r="F160" i="65"/>
  <c r="F189" i="65"/>
  <c r="F180" i="65"/>
  <c r="F177" i="65"/>
  <c r="F222" i="65"/>
  <c r="F221" i="65"/>
  <c r="F213" i="65"/>
  <c r="F217" i="65"/>
  <c r="F199" i="65"/>
  <c r="F196" i="65"/>
  <c r="F212" i="65"/>
  <c r="F216" i="65"/>
  <c r="F207" i="65"/>
  <c r="F205" i="65"/>
  <c r="F195" i="65"/>
  <c r="F215" i="65"/>
  <c r="F206" i="65"/>
  <c r="F201" i="65"/>
  <c r="F198" i="65"/>
  <c r="F223" i="65"/>
  <c r="F214" i="65"/>
  <c r="F211" i="65"/>
  <c r="F200" i="65"/>
  <c r="F197" i="65"/>
  <c r="F95" i="65"/>
  <c r="F94" i="65"/>
  <c r="F115" i="65"/>
  <c r="F106" i="65"/>
  <c r="F116" i="65"/>
  <c r="F114" i="65"/>
  <c r="F107" i="65"/>
  <c r="F109" i="65"/>
  <c r="F117" i="65"/>
  <c r="F108" i="65"/>
  <c r="F105" i="65"/>
  <c r="F113" i="65"/>
  <c r="F150" i="65"/>
  <c r="F149" i="65"/>
  <c r="F141" i="65"/>
  <c r="F145" i="65"/>
  <c r="F127" i="65"/>
  <c r="F124" i="65"/>
  <c r="F144" i="65"/>
  <c r="F135" i="65"/>
  <c r="F133" i="65"/>
  <c r="F125" i="65"/>
  <c r="F142" i="65"/>
  <c r="F128" i="65"/>
  <c r="F140" i="65"/>
  <c r="F123" i="65"/>
  <c r="F143" i="65"/>
  <c r="F134" i="65"/>
  <c r="F129" i="65"/>
  <c r="F126" i="65"/>
  <c r="F151" i="65"/>
  <c r="F139" i="65"/>
  <c r="B231" i="25" l="1"/>
  <c r="I319" i="25"/>
  <c r="I320" i="25" s="1"/>
  <c r="L317" i="25" s="1"/>
  <c r="I313" i="25"/>
  <c r="I316" i="25" s="1"/>
  <c r="L307" i="25"/>
  <c r="E264" i="25"/>
  <c r="F260" i="25"/>
  <c r="F264" i="25" s="1"/>
  <c r="D260" i="25"/>
  <c r="D264" i="25" s="1"/>
  <c r="C260" i="25"/>
  <c r="C264" i="25" s="1"/>
  <c r="G247" i="25"/>
  <c r="G251" i="25" s="1"/>
  <c r="F247" i="25"/>
  <c r="D247" i="25"/>
  <c r="C247" i="25"/>
  <c r="D242" i="25"/>
  <c r="C242" i="25"/>
  <c r="H238" i="25"/>
  <c r="H235" i="25"/>
  <c r="H239" i="25" s="1"/>
  <c r="H251" i="25" l="1"/>
  <c r="J251" i="25" s="1"/>
  <c r="J252" i="25" s="1"/>
  <c r="L249" i="25" s="1"/>
  <c r="L311" i="25"/>
  <c r="L233" i="25"/>
  <c r="G87" i="26" s="1"/>
  <c r="G256" i="25"/>
  <c r="G257" i="25" s="1"/>
  <c r="L254" i="25" s="1"/>
  <c r="P254" i="25" s="1"/>
  <c r="E223" i="65"/>
  <c r="J223" i="65" s="1"/>
  <c r="E212" i="65"/>
  <c r="J212" i="65" s="1"/>
  <c r="E214" i="65"/>
  <c r="J214" i="65" s="1"/>
  <c r="E216" i="65"/>
  <c r="J216" i="65" s="1"/>
  <c r="E207" i="65"/>
  <c r="J207" i="65" s="1"/>
  <c r="L207" i="65" s="1"/>
  <c r="E200" i="65"/>
  <c r="J200" i="65" s="1"/>
  <c r="L200" i="65" s="1"/>
  <c r="E197" i="65"/>
  <c r="J197" i="65" s="1"/>
  <c r="L197" i="65" s="1"/>
  <c r="E222" i="65"/>
  <c r="J222" i="65" s="1"/>
  <c r="E215" i="65"/>
  <c r="J215" i="65" s="1"/>
  <c r="E199" i="65"/>
  <c r="J199" i="65" s="1"/>
  <c r="L199" i="65" s="1"/>
  <c r="E196" i="65"/>
  <c r="J196" i="65" s="1"/>
  <c r="L196" i="65" s="1"/>
  <c r="E221" i="65"/>
  <c r="J221" i="65" s="1"/>
  <c r="E211" i="65"/>
  <c r="J211" i="65" s="1"/>
  <c r="E205" i="65"/>
  <c r="J205" i="65" s="1"/>
  <c r="L205" i="65" s="1"/>
  <c r="E213" i="65"/>
  <c r="J213" i="65" s="1"/>
  <c r="E217" i="65"/>
  <c r="J217" i="65" s="1"/>
  <c r="E206" i="65"/>
  <c r="J206" i="65" s="1"/>
  <c r="L206" i="65" s="1"/>
  <c r="E201" i="65"/>
  <c r="J201" i="65" s="1"/>
  <c r="L201" i="65" s="1"/>
  <c r="E198" i="65"/>
  <c r="J198" i="65" s="1"/>
  <c r="L198" i="65" s="1"/>
  <c r="E195" i="65"/>
  <c r="J195" i="65" s="1"/>
  <c r="L195" i="65" s="1"/>
  <c r="G165" i="26"/>
  <c r="P317" i="25"/>
  <c r="O317" i="25"/>
  <c r="E151" i="65"/>
  <c r="J151" i="65" s="1"/>
  <c r="E140" i="65"/>
  <c r="J140" i="65" s="1"/>
  <c r="E142" i="65"/>
  <c r="J142" i="65" s="1"/>
  <c r="E144" i="65"/>
  <c r="J144" i="65" s="1"/>
  <c r="E135" i="65"/>
  <c r="J135" i="65" s="1"/>
  <c r="L135" i="65" s="1"/>
  <c r="E128" i="65"/>
  <c r="J128" i="65" s="1"/>
  <c r="L128" i="65" s="1"/>
  <c r="E123" i="65"/>
  <c r="J123" i="65" s="1"/>
  <c r="L123" i="65" s="1"/>
  <c r="E150" i="65"/>
  <c r="J150" i="65" s="1"/>
  <c r="E141" i="65"/>
  <c r="J141" i="65" s="1"/>
  <c r="E145" i="65"/>
  <c r="J145" i="65" s="1"/>
  <c r="E127" i="65"/>
  <c r="J127" i="65" s="1"/>
  <c r="L127" i="65" s="1"/>
  <c r="E129" i="65"/>
  <c r="J129" i="65" s="1"/>
  <c r="L129" i="65" s="1"/>
  <c r="E125" i="65"/>
  <c r="J125" i="65" s="1"/>
  <c r="L125" i="65" s="1"/>
  <c r="E126" i="65"/>
  <c r="J126" i="65" s="1"/>
  <c r="L126" i="65" s="1"/>
  <c r="E149" i="65"/>
  <c r="J149" i="65" s="1"/>
  <c r="E139" i="65"/>
  <c r="J139" i="65" s="1"/>
  <c r="E133" i="65"/>
  <c r="J133" i="65" s="1"/>
  <c r="L133" i="65" s="1"/>
  <c r="E124" i="65"/>
  <c r="J124" i="65" s="1"/>
  <c r="L124" i="65" s="1"/>
  <c r="E143" i="65"/>
  <c r="J143" i="65" s="1"/>
  <c r="E134" i="65"/>
  <c r="J134" i="65" s="1"/>
  <c r="L134" i="65" s="1"/>
  <c r="P307" i="25"/>
  <c r="O307" i="25"/>
  <c r="G123" i="26"/>
  <c r="G124" i="26" s="1"/>
  <c r="O254" i="25"/>
  <c r="H242" i="25"/>
  <c r="J242" i="25" s="1"/>
  <c r="J243" i="25" s="1"/>
  <c r="L240" i="25" s="1"/>
  <c r="G88" i="26" s="1"/>
  <c r="H247" i="25"/>
  <c r="H248" i="25" s="1"/>
  <c r="G260" i="25" l="1"/>
  <c r="G264" i="25" s="1"/>
  <c r="H264" i="25" s="1"/>
  <c r="G91" i="26"/>
  <c r="G92" i="26" s="1"/>
  <c r="P249" i="25"/>
  <c r="E95" i="65"/>
  <c r="J95" i="65" s="1"/>
  <c r="L95" i="65" s="1"/>
  <c r="E99" i="65"/>
  <c r="J99" i="65" s="1"/>
  <c r="E94" i="65"/>
  <c r="J94" i="65" s="1"/>
  <c r="L94" i="65" s="1"/>
  <c r="L91" i="65" s="1"/>
  <c r="O249" i="25"/>
  <c r="G96" i="26"/>
  <c r="G97" i="26" s="1"/>
  <c r="G109" i="26" s="1"/>
  <c r="R256" i="25"/>
  <c r="E176" i="65"/>
  <c r="J176" i="65" s="1"/>
  <c r="E175" i="65"/>
  <c r="J175" i="65" s="1"/>
  <c r="E158" i="65"/>
  <c r="J158" i="65" s="1"/>
  <c r="L158" i="65" s="1"/>
  <c r="L202" i="65"/>
  <c r="L192" i="65"/>
  <c r="L120" i="65"/>
  <c r="L130" i="65"/>
  <c r="E180" i="65"/>
  <c r="J180" i="65" s="1"/>
  <c r="E160" i="65"/>
  <c r="J160" i="65" s="1"/>
  <c r="L160" i="65" s="1"/>
  <c r="E170" i="65"/>
  <c r="J170" i="65" s="1"/>
  <c r="L170" i="65" s="1"/>
  <c r="E169" i="65"/>
  <c r="J169" i="65" s="1"/>
  <c r="L169" i="65" s="1"/>
  <c r="E163" i="65"/>
  <c r="J163" i="65" s="1"/>
  <c r="L163" i="65" s="1"/>
  <c r="O311" i="25"/>
  <c r="E183" i="65"/>
  <c r="J183" i="65" s="1"/>
  <c r="E182" i="65"/>
  <c r="J182" i="65" s="1"/>
  <c r="E162" i="65"/>
  <c r="J162" i="65" s="1"/>
  <c r="L162" i="65" s="1"/>
  <c r="E165" i="65"/>
  <c r="J165" i="65" s="1"/>
  <c r="L165" i="65" s="1"/>
  <c r="E159" i="65"/>
  <c r="J159" i="65" s="1"/>
  <c r="L159" i="65" s="1"/>
  <c r="E161" i="65"/>
  <c r="J161" i="65" s="1"/>
  <c r="L161" i="65" s="1"/>
  <c r="E189" i="65"/>
  <c r="J189" i="65" s="1"/>
  <c r="E171" i="65"/>
  <c r="J171" i="65" s="1"/>
  <c r="L171" i="65" s="1"/>
  <c r="E188" i="65"/>
  <c r="J188" i="65" s="1"/>
  <c r="E187" i="65"/>
  <c r="J187" i="65" s="1"/>
  <c r="E179" i="65"/>
  <c r="J179" i="65" s="1"/>
  <c r="P311" i="25"/>
  <c r="E157" i="65"/>
  <c r="J157" i="65" s="1"/>
  <c r="L157" i="65" s="1"/>
  <c r="E178" i="65"/>
  <c r="J178" i="65" s="1"/>
  <c r="E164" i="65"/>
  <c r="J164" i="65" s="1"/>
  <c r="L164" i="65" s="1"/>
  <c r="E181" i="65"/>
  <c r="J181" i="65" s="1"/>
  <c r="E177" i="65"/>
  <c r="J177" i="65" s="1"/>
  <c r="G142" i="26"/>
  <c r="G156" i="26" s="1"/>
  <c r="G172" i="26"/>
  <c r="G166" i="26"/>
  <c r="L245" i="25"/>
  <c r="G90" i="26" s="1"/>
  <c r="P233" i="25"/>
  <c r="O233" i="25"/>
  <c r="P240" i="25"/>
  <c r="O240" i="25"/>
  <c r="G132" i="26"/>
  <c r="G130" i="26"/>
  <c r="G131" i="26" s="1"/>
  <c r="G133" i="26"/>
  <c r="H260" i="25"/>
  <c r="J260" i="25" s="1"/>
  <c r="J261" i="25" s="1"/>
  <c r="I264" i="25" s="1"/>
  <c r="U18" i="67" l="1"/>
  <c r="V18" i="67" s="1"/>
  <c r="X18" i="67" s="1"/>
  <c r="U19" i="67"/>
  <c r="V19" i="67" s="1"/>
  <c r="X19" i="67" s="1"/>
  <c r="U20" i="67"/>
  <c r="V20" i="67" s="1"/>
  <c r="X20" i="67" s="1"/>
  <c r="L166" i="65"/>
  <c r="L154" i="65"/>
  <c r="G147" i="26"/>
  <c r="G152" i="26" s="1"/>
  <c r="G155" i="26"/>
  <c r="G153" i="26"/>
  <c r="G154" i="26" s="1"/>
  <c r="G144" i="26"/>
  <c r="G145" i="26" s="1"/>
  <c r="G143" i="26"/>
  <c r="G157" i="26"/>
  <c r="O245" i="25"/>
  <c r="P245" i="25"/>
  <c r="G167" i="26"/>
  <c r="G171" i="26"/>
  <c r="G168" i="26"/>
  <c r="G169" i="26"/>
  <c r="G170" i="26"/>
  <c r="G127" i="26"/>
  <c r="G129" i="26"/>
  <c r="G126" i="26"/>
  <c r="G125" i="26"/>
  <c r="G128" i="26"/>
  <c r="G159" i="26"/>
  <c r="G158" i="26"/>
  <c r="G160" i="26"/>
  <c r="G135" i="26"/>
  <c r="G136" i="26"/>
  <c r="G134" i="26"/>
  <c r="G137" i="26"/>
  <c r="L258" i="25"/>
  <c r="G98" i="26" s="1"/>
  <c r="I265" i="25"/>
  <c r="L262" i="25" s="1"/>
  <c r="G99" i="26" s="1"/>
  <c r="G105" i="26" l="1"/>
  <c r="G106" i="26"/>
  <c r="G103" i="26"/>
  <c r="G104" i="26"/>
  <c r="G102" i="26"/>
  <c r="G101" i="26"/>
  <c r="G100" i="26"/>
  <c r="G146" i="26"/>
  <c r="G150" i="26"/>
  <c r="G149" i="26"/>
  <c r="G148" i="26"/>
  <c r="G151" i="26"/>
  <c r="O258" i="25"/>
  <c r="P258" i="25"/>
  <c r="E115" i="65"/>
  <c r="J115" i="65" s="1"/>
  <c r="E108" i="65"/>
  <c r="J108" i="65" s="1"/>
  <c r="L108" i="65" s="1"/>
  <c r="E117" i="65"/>
  <c r="J117" i="65" s="1"/>
  <c r="E105" i="65"/>
  <c r="J105" i="65" s="1"/>
  <c r="L105" i="65" s="1"/>
  <c r="E113" i="65"/>
  <c r="J113" i="65" s="1"/>
  <c r="E116" i="65"/>
  <c r="J116" i="65" s="1"/>
  <c r="E109" i="65"/>
  <c r="J109" i="65" s="1"/>
  <c r="L109" i="65" s="1"/>
  <c r="E106" i="65"/>
  <c r="J106" i="65" s="1"/>
  <c r="L106" i="65" s="1"/>
  <c r="E114" i="65"/>
  <c r="J114" i="65" s="1"/>
  <c r="E107" i="65"/>
  <c r="J107" i="65" s="1"/>
  <c r="L107" i="65" s="1"/>
  <c r="P262" i="25"/>
  <c r="O262" i="25"/>
  <c r="B17" i="27"/>
  <c r="P107" i="25"/>
  <c r="O107" i="25"/>
  <c r="B107" i="25"/>
  <c r="B12" i="26"/>
  <c r="B15" i="26"/>
  <c r="B14" i="26"/>
  <c r="B13" i="26"/>
  <c r="B11" i="26"/>
  <c r="B19" i="26"/>
  <c r="B20" i="26"/>
  <c r="B21" i="26"/>
  <c r="B22" i="26"/>
  <c r="B23" i="26"/>
  <c r="B24" i="26"/>
  <c r="B25" i="26"/>
  <c r="B26" i="26"/>
  <c r="B27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8" i="26"/>
  <c r="B59" i="26"/>
  <c r="B60" i="26"/>
  <c r="B61" i="26"/>
  <c r="A21" i="65" s="1"/>
  <c r="B62" i="26"/>
  <c r="A31" i="65" s="1"/>
  <c r="B63" i="26"/>
  <c r="A38" i="65" s="1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A58" i="65" s="1"/>
  <c r="B79" i="26"/>
  <c r="A64" i="65" s="1"/>
  <c r="B80" i="26"/>
  <c r="A69" i="65" s="1"/>
  <c r="B81" i="26"/>
  <c r="A77" i="65" s="1"/>
  <c r="B82" i="26"/>
  <c r="A83" i="65" s="1"/>
  <c r="B84" i="26"/>
  <c r="P19" i="25"/>
  <c r="O19" i="25"/>
  <c r="F19" i="25"/>
  <c r="L16" i="25" s="1"/>
  <c r="P18" i="25"/>
  <c r="O18" i="25"/>
  <c r="P17" i="25"/>
  <c r="O17" i="25"/>
  <c r="G93" i="26" l="1"/>
  <c r="G190" i="26"/>
  <c r="G189" i="26"/>
  <c r="G173" i="26"/>
  <c r="G174" i="26"/>
  <c r="G162" i="26"/>
  <c r="G138" i="26"/>
  <c r="G161" i="26"/>
  <c r="G139" i="26"/>
  <c r="L102" i="65"/>
  <c r="G107" i="26" s="1"/>
  <c r="O16" i="25"/>
  <c r="G12" i="26"/>
  <c r="P16" i="25"/>
  <c r="F97" i="25" l="1"/>
  <c r="F89" i="25"/>
  <c r="P106" i="25"/>
  <c r="O106" i="25"/>
  <c r="P105" i="25"/>
  <c r="O105" i="25"/>
  <c r="F105" i="25"/>
  <c r="F106" i="25" s="1"/>
  <c r="L103" i="25" s="1"/>
  <c r="P104" i="25"/>
  <c r="O104" i="25"/>
  <c r="P102" i="25"/>
  <c r="O102" i="25"/>
  <c r="P101" i="25"/>
  <c r="O101" i="25"/>
  <c r="F101" i="25"/>
  <c r="F102" i="25" s="1"/>
  <c r="L99" i="25" s="1"/>
  <c r="P100" i="25"/>
  <c r="O100" i="25"/>
  <c r="P98" i="25"/>
  <c r="O98" i="25"/>
  <c r="P97" i="25"/>
  <c r="O97" i="25"/>
  <c r="F98" i="25"/>
  <c r="L95" i="25" s="1"/>
  <c r="G25" i="26" s="1"/>
  <c r="P96" i="25"/>
  <c r="O96" i="25"/>
  <c r="P94" i="25"/>
  <c r="O94" i="25"/>
  <c r="P93" i="25"/>
  <c r="O93" i="25"/>
  <c r="F93" i="25"/>
  <c r="F94" i="25" s="1"/>
  <c r="L91" i="25" s="1"/>
  <c r="P92" i="25"/>
  <c r="O92" i="25"/>
  <c r="G27" i="26"/>
  <c r="B103" i="25"/>
  <c r="G26" i="26"/>
  <c r="B99" i="25"/>
  <c r="B95" i="25"/>
  <c r="G24" i="26"/>
  <c r="B91" i="25"/>
  <c r="P99" i="25" l="1"/>
  <c r="O99" i="25"/>
  <c r="P91" i="25"/>
  <c r="O91" i="25"/>
  <c r="P95" i="25"/>
  <c r="O95" i="25"/>
  <c r="P103" i="25"/>
  <c r="O103" i="25"/>
  <c r="K68" i="65"/>
  <c r="K67" i="65"/>
  <c r="K62" i="65"/>
  <c r="K63" i="65"/>
  <c r="K61" i="65"/>
  <c r="K54" i="65"/>
  <c r="K55" i="65"/>
  <c r="K56" i="65"/>
  <c r="K57" i="65"/>
  <c r="K53" i="65"/>
  <c r="K27" i="65"/>
  <c r="K26" i="65"/>
  <c r="K25" i="65"/>
  <c r="K24" i="65"/>
  <c r="K20" i="65"/>
  <c r="K18" i="65"/>
  <c r="K17" i="65"/>
  <c r="K11" i="65"/>
  <c r="AQ18" i="39"/>
  <c r="AQ17" i="39"/>
  <c r="AO17" i="39"/>
  <c r="K34" i="65" s="1"/>
  <c r="AO18" i="39"/>
  <c r="K82" i="65" s="1"/>
  <c r="D8" i="65"/>
  <c r="K80" i="65" l="1"/>
  <c r="K116" i="65"/>
  <c r="L116" i="65" s="1"/>
  <c r="K117" i="65"/>
  <c r="L117" i="65" s="1"/>
  <c r="K113" i="65"/>
  <c r="L113" i="65" s="1"/>
  <c r="K114" i="65"/>
  <c r="L114" i="65" s="1"/>
  <c r="K115" i="65"/>
  <c r="L115" i="65" s="1"/>
  <c r="K81" i="65"/>
  <c r="K251" i="65"/>
  <c r="L251" i="65" s="1"/>
  <c r="K245" i="65"/>
  <c r="L245" i="65" s="1"/>
  <c r="K244" i="65"/>
  <c r="L244" i="65" s="1"/>
  <c r="K250" i="65"/>
  <c r="L250" i="65" s="1"/>
  <c r="K243" i="65"/>
  <c r="L243" i="65" s="1"/>
  <c r="K175" i="65"/>
  <c r="L175" i="65" s="1"/>
  <c r="K249" i="65"/>
  <c r="L249" i="65" s="1"/>
  <c r="K242" i="65"/>
  <c r="L242" i="65" s="1"/>
  <c r="K176" i="65"/>
  <c r="L176" i="65" s="1"/>
  <c r="K36" i="65"/>
  <c r="L36" i="65" s="1"/>
  <c r="K223" i="65"/>
  <c r="L223" i="65" s="1"/>
  <c r="K216" i="65"/>
  <c r="L216" i="65" s="1"/>
  <c r="K189" i="65"/>
  <c r="L189" i="65" s="1"/>
  <c r="K182" i="65"/>
  <c r="L182" i="65" s="1"/>
  <c r="K151" i="65"/>
  <c r="L151" i="65" s="1"/>
  <c r="K144" i="65"/>
  <c r="L144" i="65" s="1"/>
  <c r="K221" i="65"/>
  <c r="L221" i="65" s="1"/>
  <c r="L218" i="65" s="1"/>
  <c r="G176" i="26" s="1"/>
  <c r="K217" i="65"/>
  <c r="L217" i="65" s="1"/>
  <c r="K187" i="65"/>
  <c r="L187" i="65" s="1"/>
  <c r="K183" i="65"/>
  <c r="L183" i="65" s="1"/>
  <c r="K149" i="65"/>
  <c r="L149" i="65" s="1"/>
  <c r="K145" i="65"/>
  <c r="L145" i="65" s="1"/>
  <c r="K211" i="65"/>
  <c r="L211" i="65" s="1"/>
  <c r="K177" i="65"/>
  <c r="L177" i="65" s="1"/>
  <c r="K139" i="65"/>
  <c r="L139" i="65" s="1"/>
  <c r="K142" i="65"/>
  <c r="L142" i="65" s="1"/>
  <c r="K99" i="65"/>
  <c r="L99" i="65" s="1"/>
  <c r="L96" i="65" s="1"/>
  <c r="G94" i="26" s="1"/>
  <c r="K180" i="65"/>
  <c r="L180" i="65" s="1"/>
  <c r="K179" i="65"/>
  <c r="L179" i="65" s="1"/>
  <c r="K212" i="65"/>
  <c r="L212" i="65" s="1"/>
  <c r="K178" i="65"/>
  <c r="L178" i="65" s="1"/>
  <c r="K140" i="65"/>
  <c r="L140" i="65" s="1"/>
  <c r="K213" i="65"/>
  <c r="L213" i="65" s="1"/>
  <c r="K222" i="65"/>
  <c r="L222" i="65" s="1"/>
  <c r="K215" i="65"/>
  <c r="L215" i="65" s="1"/>
  <c r="K188" i="65"/>
  <c r="L188" i="65" s="1"/>
  <c r="K181" i="65"/>
  <c r="L181" i="65" s="1"/>
  <c r="K150" i="65"/>
  <c r="L150" i="65" s="1"/>
  <c r="K143" i="65"/>
  <c r="L143" i="65" s="1"/>
  <c r="K141" i="65"/>
  <c r="L141" i="65" s="1"/>
  <c r="K214" i="65"/>
  <c r="L214" i="65" s="1"/>
  <c r="K35" i="65"/>
  <c r="K87" i="65"/>
  <c r="K37" i="65"/>
  <c r="K75" i="65"/>
  <c r="K86" i="65"/>
  <c r="K41" i="65"/>
  <c r="K44" i="65"/>
  <c r="K43" i="65"/>
  <c r="K72" i="65"/>
  <c r="K42" i="65"/>
  <c r="K74" i="65"/>
  <c r="K73" i="65"/>
  <c r="K76" i="65"/>
  <c r="P156" i="25"/>
  <c r="O156" i="25"/>
  <c r="L110" i="65" l="1"/>
  <c r="G108" i="26" s="1"/>
  <c r="L136" i="65"/>
  <c r="G140" i="26" s="1"/>
  <c r="L208" i="65"/>
  <c r="G175" i="26" s="1"/>
  <c r="L239" i="65"/>
  <c r="G191" i="26" s="1"/>
  <c r="L146" i="65"/>
  <c r="G141" i="26" s="1"/>
  <c r="L184" i="65"/>
  <c r="G164" i="26" s="1"/>
  <c r="L246" i="65"/>
  <c r="G192" i="26" s="1"/>
  <c r="L172" i="65"/>
  <c r="G163" i="26" s="1"/>
  <c r="H163" i="25"/>
  <c r="B10" i="26"/>
  <c r="B225" i="65" s="1"/>
  <c r="C7" i="25" l="1"/>
  <c r="D7" i="25" s="1"/>
  <c r="E7" i="25" s="1"/>
  <c r="F7" i="25" s="1"/>
  <c r="G7" i="25" s="1"/>
  <c r="H7" i="25" s="1"/>
  <c r="I7" i="25" s="1"/>
  <c r="J7" i="25" s="1"/>
  <c r="K7" i="25" s="1"/>
  <c r="L7" i="25" s="1"/>
  <c r="M7" i="25" s="1"/>
  <c r="B119" i="65"/>
  <c r="B101" i="65"/>
  <c r="B90" i="65"/>
  <c r="B191" i="65"/>
  <c r="B153" i="65"/>
  <c r="B49" i="65"/>
  <c r="B13" i="65"/>
  <c r="B7" i="65"/>
  <c r="B8" i="27"/>
  <c r="O7" i="25" l="1"/>
  <c r="P7" i="25"/>
  <c r="U22" i="28"/>
  <c r="U20" i="28"/>
  <c r="U18" i="28"/>
  <c r="U16" i="28"/>
  <c r="U12" i="28"/>
  <c r="U10" i="28"/>
  <c r="U24" i="28"/>
  <c r="E67" i="25" l="1"/>
  <c r="H64" i="25"/>
  <c r="H63" i="25"/>
  <c r="H62" i="25"/>
  <c r="H61" i="25"/>
  <c r="H60" i="25"/>
  <c r="H59" i="25"/>
  <c r="H58" i="25"/>
  <c r="H57" i="25"/>
  <c r="H56" i="25"/>
  <c r="H55" i="25"/>
  <c r="O54" i="25"/>
  <c r="H54" i="25"/>
  <c r="E48" i="25"/>
  <c r="E49" i="25" s="1"/>
  <c r="H45" i="25"/>
  <c r="H44" i="25"/>
  <c r="H43" i="25"/>
  <c r="H42" i="25"/>
  <c r="H41" i="25"/>
  <c r="H40" i="25"/>
  <c r="E68" i="25" l="1"/>
  <c r="B225" i="25"/>
  <c r="B196" i="25"/>
  <c r="B152" i="25"/>
  <c r="B124" i="25"/>
  <c r="B70" i="25"/>
  <c r="B51" i="25"/>
  <c r="B32" i="25"/>
  <c r="B108" i="25"/>
  <c r="B109" i="25"/>
  <c r="H36" i="25"/>
  <c r="H37" i="25"/>
  <c r="H38" i="25"/>
  <c r="H39" i="25"/>
  <c r="O34" i="25"/>
  <c r="O35" i="25"/>
  <c r="H35" i="25"/>
  <c r="AN13" i="39" l="1"/>
  <c r="F223" i="25" l="1"/>
  <c r="F222" i="25"/>
  <c r="I222" i="25" s="1"/>
  <c r="M220" i="25"/>
  <c r="P223" i="25"/>
  <c r="O223" i="25"/>
  <c r="C223" i="25"/>
  <c r="P222" i="25"/>
  <c r="O222" i="25"/>
  <c r="C218" i="25"/>
  <c r="I218" i="25" s="1"/>
  <c r="P218" i="25"/>
  <c r="O218" i="25"/>
  <c r="F217" i="25"/>
  <c r="I217" i="25" s="1"/>
  <c r="P217" i="25"/>
  <c r="O217" i="25"/>
  <c r="P224" i="25"/>
  <c r="O224" i="25"/>
  <c r="P221" i="25"/>
  <c r="O221" i="25"/>
  <c r="B220" i="25"/>
  <c r="P219" i="25"/>
  <c r="O219" i="25"/>
  <c r="P216" i="25"/>
  <c r="O216" i="25"/>
  <c r="P215" i="25"/>
  <c r="O215" i="25"/>
  <c r="M214" i="25"/>
  <c r="B214" i="25"/>
  <c r="I219" i="25" l="1"/>
  <c r="L214" i="25" s="1"/>
  <c r="F56" i="65"/>
  <c r="F75" i="65"/>
  <c r="F57" i="65"/>
  <c r="F76" i="65"/>
  <c r="I223" i="25"/>
  <c r="I224" i="25"/>
  <c r="L220" i="25" s="1"/>
  <c r="P213" i="25"/>
  <c r="O213" i="25"/>
  <c r="P212" i="25"/>
  <c r="O212" i="25"/>
  <c r="H212" i="25"/>
  <c r="H213" i="25" s="1"/>
  <c r="L210" i="25" s="1"/>
  <c r="P211" i="25"/>
  <c r="O211" i="25"/>
  <c r="M210" i="25"/>
  <c r="B210" i="25"/>
  <c r="P204" i="25"/>
  <c r="O204" i="25"/>
  <c r="P203" i="25"/>
  <c r="O203" i="25"/>
  <c r="G181" i="25"/>
  <c r="H181" i="25" s="1"/>
  <c r="P184" i="25"/>
  <c r="O184" i="25"/>
  <c r="P182" i="25"/>
  <c r="O182" i="25"/>
  <c r="G182" i="25"/>
  <c r="P181" i="25"/>
  <c r="O181" i="25"/>
  <c r="P183" i="25"/>
  <c r="O183" i="25"/>
  <c r="I183" i="25"/>
  <c r="I184" i="25" s="1"/>
  <c r="P180" i="25"/>
  <c r="O180" i="25"/>
  <c r="M179" i="25"/>
  <c r="F18" i="65" s="1"/>
  <c r="B179" i="25"/>
  <c r="G176" i="25"/>
  <c r="I177" i="25"/>
  <c r="G175" i="25"/>
  <c r="H175" i="25" s="1"/>
  <c r="P177" i="25"/>
  <c r="O177" i="25"/>
  <c r="P176" i="25"/>
  <c r="O176" i="25"/>
  <c r="E56" i="65" l="1"/>
  <c r="J56" i="65" s="1"/>
  <c r="L56" i="65" s="1"/>
  <c r="E75" i="65"/>
  <c r="J75" i="65" s="1"/>
  <c r="L75" i="65" s="1"/>
  <c r="G75" i="26"/>
  <c r="E68" i="65"/>
  <c r="J68" i="65" s="1"/>
  <c r="L68" i="65" s="1"/>
  <c r="G74" i="26"/>
  <c r="E87" i="65"/>
  <c r="J87" i="65" s="1"/>
  <c r="L87" i="65" s="1"/>
  <c r="G76" i="26"/>
  <c r="E57" i="65"/>
  <c r="J57" i="65" s="1"/>
  <c r="L57" i="65" s="1"/>
  <c r="E76" i="65"/>
  <c r="J76" i="65" s="1"/>
  <c r="L76" i="65" s="1"/>
  <c r="F87" i="65"/>
  <c r="F68" i="65"/>
  <c r="F43" i="65"/>
  <c r="F26" i="65"/>
  <c r="F35" i="65"/>
  <c r="F27" i="65"/>
  <c r="F44" i="65"/>
  <c r="O220" i="25"/>
  <c r="P220" i="25"/>
  <c r="O214" i="25"/>
  <c r="P214" i="25"/>
  <c r="H205" i="25"/>
  <c r="O210" i="25"/>
  <c r="P210" i="25"/>
  <c r="I178" i="25"/>
  <c r="L179" i="25"/>
  <c r="E18" i="65" s="1"/>
  <c r="J183" i="25"/>
  <c r="J181" i="25"/>
  <c r="J182" i="25"/>
  <c r="J19" i="65" s="1"/>
  <c r="L19" i="65" s="1"/>
  <c r="D167" i="25"/>
  <c r="D171" i="25" s="1"/>
  <c r="E167" i="25"/>
  <c r="E171" i="25" s="1"/>
  <c r="F167" i="25"/>
  <c r="F171" i="25" s="1"/>
  <c r="C167" i="25"/>
  <c r="G49" i="26" l="1"/>
  <c r="E27" i="65"/>
  <c r="J27" i="65" s="1"/>
  <c r="L27" i="65" s="1"/>
  <c r="E44" i="65"/>
  <c r="J44" i="65" s="1"/>
  <c r="L44" i="65" s="1"/>
  <c r="E26" i="65"/>
  <c r="E43" i="65"/>
  <c r="E35" i="65"/>
  <c r="J176" i="25"/>
  <c r="J175" i="25"/>
  <c r="J177" i="25"/>
  <c r="L173" i="25"/>
  <c r="E17" i="65" s="1"/>
  <c r="P179" i="25"/>
  <c r="O179" i="25"/>
  <c r="G117" i="25"/>
  <c r="G122" i="25" s="1"/>
  <c r="G116" i="25"/>
  <c r="G121" i="25" s="1"/>
  <c r="C117" i="25"/>
  <c r="C122" i="25" s="1"/>
  <c r="C116" i="25"/>
  <c r="C121" i="25" s="1"/>
  <c r="F121" i="25"/>
  <c r="F122" i="25"/>
  <c r="J43" i="65" l="1"/>
  <c r="L43" i="65" s="1"/>
  <c r="J18" i="65"/>
  <c r="L18" i="65" s="1"/>
  <c r="J35" i="65"/>
  <c r="L35" i="65" s="1"/>
  <c r="J26" i="65"/>
  <c r="L26" i="65" s="1"/>
  <c r="E34" i="65"/>
  <c r="G45" i="26"/>
  <c r="G46" i="26" s="1"/>
  <c r="E25" i="65"/>
  <c r="J25" i="65" s="1"/>
  <c r="L25" i="65" s="1"/>
  <c r="E24" i="65"/>
  <c r="E41" i="65"/>
  <c r="E42" i="65"/>
  <c r="J42" i="65" s="1"/>
  <c r="L42" i="65" s="1"/>
  <c r="J41" i="65"/>
  <c r="L41" i="65" s="1"/>
  <c r="G52" i="26"/>
  <c r="G51" i="26"/>
  <c r="G50" i="26"/>
  <c r="H113" i="25"/>
  <c r="L109" i="25" s="1"/>
  <c r="C229" i="25"/>
  <c r="H229" i="25" s="1"/>
  <c r="C228" i="25"/>
  <c r="H228" i="25" s="1"/>
  <c r="P228" i="25"/>
  <c r="O228" i="25"/>
  <c r="P225" i="25"/>
  <c r="O225" i="25"/>
  <c r="H208" i="25"/>
  <c r="P208" i="25"/>
  <c r="O208" i="25"/>
  <c r="P229" i="25"/>
  <c r="O229" i="25"/>
  <c r="P227" i="25"/>
  <c r="O227" i="25"/>
  <c r="M226" i="25"/>
  <c r="B226" i="25"/>
  <c r="P209" i="25"/>
  <c r="O209" i="25"/>
  <c r="P207" i="25"/>
  <c r="O207" i="25"/>
  <c r="M206" i="25"/>
  <c r="B206" i="25"/>
  <c r="P205" i="25"/>
  <c r="O205" i="25"/>
  <c r="L201" i="25"/>
  <c r="P202" i="25"/>
  <c r="O202" i="25"/>
  <c r="M201" i="25"/>
  <c r="B201" i="25"/>
  <c r="P200" i="25"/>
  <c r="O200" i="25"/>
  <c r="P199" i="25"/>
  <c r="O199" i="25"/>
  <c r="G199" i="25"/>
  <c r="G66" i="26" s="1"/>
  <c r="P198" i="25"/>
  <c r="O198" i="25"/>
  <c r="P196" i="25"/>
  <c r="O196" i="25"/>
  <c r="P195" i="25"/>
  <c r="O195" i="25"/>
  <c r="P194" i="25"/>
  <c r="O194" i="25"/>
  <c r="H194" i="25"/>
  <c r="G59" i="26" s="1"/>
  <c r="P193" i="25"/>
  <c r="O193" i="25"/>
  <c r="M192" i="25"/>
  <c r="F20" i="65" s="1"/>
  <c r="B192" i="25"/>
  <c r="P178" i="25"/>
  <c r="O178" i="25"/>
  <c r="P175" i="25"/>
  <c r="O175" i="25"/>
  <c r="P174" i="25"/>
  <c r="O174" i="25"/>
  <c r="M173" i="25"/>
  <c r="F17" i="65" s="1"/>
  <c r="B173" i="25"/>
  <c r="L38" i="65" l="1"/>
  <c r="G63" i="26" s="1"/>
  <c r="G48" i="26"/>
  <c r="J24" i="65"/>
  <c r="L24" i="65" s="1"/>
  <c r="J17" i="65"/>
  <c r="L17" i="65" s="1"/>
  <c r="G30" i="26"/>
  <c r="E11" i="65"/>
  <c r="J11" i="65" s="1"/>
  <c r="L11" i="65" s="1"/>
  <c r="L8" i="65" s="1"/>
  <c r="E63" i="65"/>
  <c r="J63" i="65" s="1"/>
  <c r="L63" i="65" s="1"/>
  <c r="E82" i="65"/>
  <c r="J82" i="65" s="1"/>
  <c r="L82" i="65" s="1"/>
  <c r="E73" i="65"/>
  <c r="J73" i="65" s="1"/>
  <c r="L73" i="65" s="1"/>
  <c r="E74" i="65"/>
  <c r="J74" i="65" s="1"/>
  <c r="L74" i="65" s="1"/>
  <c r="E80" i="65"/>
  <c r="J80" i="65" s="1"/>
  <c r="L80" i="65" s="1"/>
  <c r="G67" i="26"/>
  <c r="E55" i="65"/>
  <c r="J55" i="65" s="1"/>
  <c r="L55" i="65" s="1"/>
  <c r="E62" i="65"/>
  <c r="J62" i="65" s="1"/>
  <c r="L62" i="65" s="1"/>
  <c r="E81" i="65"/>
  <c r="J81" i="65" s="1"/>
  <c r="L81" i="65" s="1"/>
  <c r="E61" i="65"/>
  <c r="J61" i="65" s="1"/>
  <c r="L61" i="65" s="1"/>
  <c r="E54" i="65"/>
  <c r="J54" i="65" s="1"/>
  <c r="L54" i="65" s="1"/>
  <c r="J34" i="65"/>
  <c r="L34" i="65" s="1"/>
  <c r="F67" i="65"/>
  <c r="F86" i="65"/>
  <c r="F63" i="65"/>
  <c r="F61" i="65"/>
  <c r="F81" i="65"/>
  <c r="F80" i="65"/>
  <c r="F55" i="65"/>
  <c r="F82" i="65"/>
  <c r="F73" i="65"/>
  <c r="F54" i="65"/>
  <c r="F74" i="65"/>
  <c r="F62" i="65"/>
  <c r="F25" i="65"/>
  <c r="F42" i="65"/>
  <c r="F24" i="65"/>
  <c r="F34" i="65"/>
  <c r="F41" i="65"/>
  <c r="F37" i="65"/>
  <c r="H195" i="25"/>
  <c r="L192" i="25" s="1"/>
  <c r="G200" i="25"/>
  <c r="L197" i="25" s="1"/>
  <c r="O197" i="25" s="1"/>
  <c r="G47" i="26"/>
  <c r="H209" i="25"/>
  <c r="L206" i="25" s="1"/>
  <c r="H230" i="25"/>
  <c r="L226" i="25" s="1"/>
  <c r="G84" i="26" s="1"/>
  <c r="P201" i="25"/>
  <c r="O201" i="25"/>
  <c r="O173" i="25"/>
  <c r="P173" i="25"/>
  <c r="G163" i="25"/>
  <c r="G167" i="25" s="1"/>
  <c r="G171" i="25" s="1"/>
  <c r="P172" i="25"/>
  <c r="O172" i="25"/>
  <c r="P171" i="25"/>
  <c r="O171" i="25"/>
  <c r="P170" i="25"/>
  <c r="O170" i="25"/>
  <c r="M169" i="25"/>
  <c r="B169" i="25"/>
  <c r="P168" i="25"/>
  <c r="O168" i="25"/>
  <c r="P167" i="25"/>
  <c r="O167" i="25"/>
  <c r="P166" i="25"/>
  <c r="O166" i="25"/>
  <c r="M165" i="25"/>
  <c r="B165" i="25"/>
  <c r="P164" i="25"/>
  <c r="O164" i="25"/>
  <c r="P163" i="25"/>
  <c r="O163" i="25"/>
  <c r="P162" i="25"/>
  <c r="O162" i="25"/>
  <c r="M161" i="25"/>
  <c r="B161" i="25"/>
  <c r="L153" i="25"/>
  <c r="G41" i="26" s="1"/>
  <c r="P160" i="25"/>
  <c r="O160" i="25"/>
  <c r="P155" i="25"/>
  <c r="O155" i="25"/>
  <c r="P154" i="25"/>
  <c r="O154" i="25"/>
  <c r="M153" i="25"/>
  <c r="B153" i="25"/>
  <c r="P152" i="25"/>
  <c r="O152" i="25"/>
  <c r="D146" i="25"/>
  <c r="C146" i="25"/>
  <c r="O146" i="25"/>
  <c r="P146" i="25"/>
  <c r="P147" i="25"/>
  <c r="O147" i="25"/>
  <c r="P145" i="25"/>
  <c r="O145" i="25"/>
  <c r="M144" i="25"/>
  <c r="B144" i="25"/>
  <c r="P143" i="25"/>
  <c r="O143" i="25"/>
  <c r="P142" i="25"/>
  <c r="O142" i="25"/>
  <c r="P141" i="25"/>
  <c r="O141" i="25"/>
  <c r="P140" i="25"/>
  <c r="O140" i="25"/>
  <c r="M139" i="25"/>
  <c r="F99" i="65" s="1"/>
  <c r="B139" i="25"/>
  <c r="B133" i="25"/>
  <c r="B125" i="25"/>
  <c r="B148" i="25"/>
  <c r="P151" i="25"/>
  <c r="O151" i="25"/>
  <c r="P150" i="25"/>
  <c r="O150" i="25"/>
  <c r="P149" i="25"/>
  <c r="O149" i="25"/>
  <c r="M148" i="25"/>
  <c r="C136" i="25"/>
  <c r="D136" i="25"/>
  <c r="F136" i="25"/>
  <c r="G136" i="25"/>
  <c r="C137" i="25"/>
  <c r="D137" i="25"/>
  <c r="F137" i="25"/>
  <c r="G137" i="25"/>
  <c r="D135" i="25"/>
  <c r="E135" i="25"/>
  <c r="F135" i="25"/>
  <c r="G135" i="25"/>
  <c r="C135" i="25"/>
  <c r="P136" i="25"/>
  <c r="O136" i="25"/>
  <c r="P138" i="25"/>
  <c r="O138" i="25"/>
  <c r="P137" i="25"/>
  <c r="O137" i="25"/>
  <c r="P135" i="25"/>
  <c r="O135" i="25"/>
  <c r="P134" i="25"/>
  <c r="O134" i="25"/>
  <c r="M133" i="25"/>
  <c r="M125" i="25"/>
  <c r="M119" i="25"/>
  <c r="M114" i="25"/>
  <c r="M109" i="25"/>
  <c r="E129" i="25"/>
  <c r="E137" i="25" s="1"/>
  <c r="E128" i="25"/>
  <c r="E136" i="25" s="1"/>
  <c r="H127" i="25"/>
  <c r="D117" i="25"/>
  <c r="E117" i="25"/>
  <c r="E122" i="25" s="1"/>
  <c r="D116" i="25"/>
  <c r="E116" i="25"/>
  <c r="E121" i="25" s="1"/>
  <c r="P192" i="25" l="1"/>
  <c r="E20" i="65"/>
  <c r="L21" i="65"/>
  <c r="G61" i="26" s="1"/>
  <c r="G146" i="25"/>
  <c r="O192" i="25"/>
  <c r="G72" i="26"/>
  <c r="G71" i="26"/>
  <c r="G68" i="26"/>
  <c r="G70" i="26"/>
  <c r="G69" i="26"/>
  <c r="E67" i="65"/>
  <c r="J67" i="65" s="1"/>
  <c r="L67" i="65" s="1"/>
  <c r="L64" i="65" s="1"/>
  <c r="G79" i="26" s="1"/>
  <c r="G73" i="26"/>
  <c r="E86" i="65"/>
  <c r="J86" i="65" s="1"/>
  <c r="L86" i="65" s="1"/>
  <c r="L83" i="65" s="1"/>
  <c r="G82" i="26" s="1"/>
  <c r="G33" i="26"/>
  <c r="E72" i="65"/>
  <c r="J72" i="65" s="1"/>
  <c r="L72" i="65" s="1"/>
  <c r="L69" i="65" s="1"/>
  <c r="G80" i="26" s="1"/>
  <c r="G65" i="26"/>
  <c r="E53" i="65"/>
  <c r="J53" i="65" s="1"/>
  <c r="L53" i="65" s="1"/>
  <c r="L50" i="65" s="1"/>
  <c r="G77" i="26" s="1"/>
  <c r="L58" i="65"/>
  <c r="G78" i="26" s="1"/>
  <c r="P197" i="25"/>
  <c r="J20" i="65"/>
  <c r="L20" i="65" s="1"/>
  <c r="L14" i="65" s="1"/>
  <c r="G60" i="26" s="1"/>
  <c r="G58" i="26"/>
  <c r="E37" i="65"/>
  <c r="J37" i="65" s="1"/>
  <c r="L37" i="65" s="1"/>
  <c r="L77" i="65"/>
  <c r="G81" i="26" s="1"/>
  <c r="P206" i="25"/>
  <c r="O206" i="25"/>
  <c r="D121" i="25"/>
  <c r="H116" i="25"/>
  <c r="J116" i="25" s="1"/>
  <c r="D122" i="25"/>
  <c r="H117" i="25"/>
  <c r="J117" i="25" s="1"/>
  <c r="O226" i="25"/>
  <c r="P226" i="25"/>
  <c r="P153" i="25"/>
  <c r="O153" i="25"/>
  <c r="H135" i="25"/>
  <c r="J135" i="25" s="1"/>
  <c r="H129" i="25"/>
  <c r="H136" i="25"/>
  <c r="J136" i="25" s="1"/>
  <c r="H137" i="25"/>
  <c r="J137" i="25" s="1"/>
  <c r="H128" i="25"/>
  <c r="L31" i="65" l="1"/>
  <c r="G62" i="26" s="1"/>
  <c r="H132" i="25"/>
  <c r="J138" i="25"/>
  <c r="L125" i="25"/>
  <c r="G35" i="26" s="1"/>
  <c r="G110" i="26"/>
  <c r="H151" i="25"/>
  <c r="J163" i="25"/>
  <c r="J164" i="25" s="1"/>
  <c r="C171" i="25"/>
  <c r="J172" i="25" s="1"/>
  <c r="L169" i="25" s="1"/>
  <c r="G44" i="26" s="1"/>
  <c r="L133" i="25"/>
  <c r="G36" i="26" s="1"/>
  <c r="L148" i="25" l="1"/>
  <c r="G39" i="26" s="1"/>
  <c r="J143" i="25"/>
  <c r="L139" i="25" s="1"/>
  <c r="L161" i="25"/>
  <c r="P161" i="25" s="1"/>
  <c r="I167" i="25"/>
  <c r="K167" i="25" s="1"/>
  <c r="K168" i="25" s="1"/>
  <c r="L165" i="25" s="1"/>
  <c r="P169" i="25"/>
  <c r="O169" i="25"/>
  <c r="P133" i="25"/>
  <c r="O133" i="25"/>
  <c r="G147" i="25"/>
  <c r="L144" i="25" s="1"/>
  <c r="G38" i="26" s="1"/>
  <c r="P129" i="25"/>
  <c r="O129" i="25"/>
  <c r="P128" i="25"/>
  <c r="O128" i="25"/>
  <c r="P124" i="25"/>
  <c r="O124" i="25"/>
  <c r="B119" i="25"/>
  <c r="B114" i="25"/>
  <c r="P123" i="25"/>
  <c r="O123" i="25"/>
  <c r="P122" i="25"/>
  <c r="O122" i="25"/>
  <c r="P121" i="25"/>
  <c r="O121" i="25"/>
  <c r="P120" i="25"/>
  <c r="O120" i="25"/>
  <c r="G37" i="26" l="1"/>
  <c r="O139" i="25"/>
  <c r="P139" i="25"/>
  <c r="O161" i="25"/>
  <c r="P148" i="25"/>
  <c r="O148" i="25"/>
  <c r="P165" i="25"/>
  <c r="G43" i="26"/>
  <c r="G42" i="26"/>
  <c r="O165" i="25"/>
  <c r="O144" i="25"/>
  <c r="P144" i="25"/>
  <c r="P117" i="25"/>
  <c r="O117" i="25"/>
  <c r="P112" i="25"/>
  <c r="O112" i="25"/>
  <c r="P118" i="25"/>
  <c r="O118" i="25"/>
  <c r="P116" i="25"/>
  <c r="O116" i="25"/>
  <c r="P115" i="25"/>
  <c r="O115" i="25"/>
  <c r="H122" i="25" l="1"/>
  <c r="J122" i="25" s="1"/>
  <c r="J118" i="25"/>
  <c r="L114" i="25" s="1"/>
  <c r="G31" i="26" s="1"/>
  <c r="H121" i="25"/>
  <c r="J121" i="25" s="1"/>
  <c r="J123" i="25" l="1"/>
  <c r="L119" i="25" s="1"/>
  <c r="G32" i="26" s="1"/>
  <c r="O114" i="25"/>
  <c r="P114" i="25"/>
  <c r="O119" i="25" l="1"/>
  <c r="P119" i="25"/>
  <c r="P90" i="25"/>
  <c r="O90" i="25"/>
  <c r="P89" i="25"/>
  <c r="O89" i="25"/>
  <c r="F90" i="25"/>
  <c r="L87" i="25" s="1"/>
  <c r="G23" i="26" s="1"/>
  <c r="P88" i="25"/>
  <c r="O88" i="25"/>
  <c r="B87" i="25"/>
  <c r="P87" i="25" l="1"/>
  <c r="O87" i="25"/>
  <c r="O32" i="25" l="1"/>
  <c r="P32" i="25"/>
  <c r="O70" i="25"/>
  <c r="P70" i="25"/>
  <c r="O29" i="25"/>
  <c r="P29" i="25"/>
  <c r="O30" i="25"/>
  <c r="P30" i="25"/>
  <c r="O31" i="25"/>
  <c r="P31" i="25"/>
  <c r="B10" i="27" l="1"/>
  <c r="B11" i="27"/>
  <c r="B12" i="27"/>
  <c r="B13" i="27"/>
  <c r="B14" i="27"/>
  <c r="B15" i="27"/>
  <c r="B16" i="27"/>
  <c r="B23" i="63" l="1"/>
  <c r="P6" i="25"/>
  <c r="O6" i="25"/>
  <c r="B26" i="63" l="1"/>
  <c r="B20" i="63"/>
  <c r="B17" i="63"/>
  <c r="B14" i="63"/>
  <c r="B11" i="63"/>
  <c r="P108" i="25"/>
  <c r="P110" i="25"/>
  <c r="P111" i="25"/>
  <c r="P113" i="25"/>
  <c r="P126" i="25"/>
  <c r="P127" i="25"/>
  <c r="P132" i="25"/>
  <c r="P72" i="25"/>
  <c r="P73" i="25"/>
  <c r="P74" i="25"/>
  <c r="P76" i="25"/>
  <c r="P77" i="25"/>
  <c r="P78" i="25"/>
  <c r="P80" i="25"/>
  <c r="P81" i="25"/>
  <c r="P82" i="25"/>
  <c r="P84" i="25"/>
  <c r="P85" i="25"/>
  <c r="P86" i="25"/>
  <c r="P9" i="25"/>
  <c r="P10" i="25"/>
  <c r="P11" i="25"/>
  <c r="P13" i="25"/>
  <c r="P14" i="25"/>
  <c r="P15" i="25"/>
  <c r="P21" i="25"/>
  <c r="P22" i="25"/>
  <c r="P23" i="25"/>
  <c r="P25" i="25"/>
  <c r="P26" i="25"/>
  <c r="P27" i="25"/>
  <c r="O108" i="25"/>
  <c r="O111" i="25"/>
  <c r="O113" i="25"/>
  <c r="O126" i="25"/>
  <c r="O127" i="25"/>
  <c r="O132" i="25"/>
  <c r="O72" i="25"/>
  <c r="O73" i="25"/>
  <c r="O74" i="25"/>
  <c r="O76" i="25"/>
  <c r="O77" i="25"/>
  <c r="O78" i="25"/>
  <c r="O80" i="25"/>
  <c r="O81" i="25"/>
  <c r="O82" i="25"/>
  <c r="O84" i="25"/>
  <c r="O85" i="25"/>
  <c r="O86" i="25"/>
  <c r="O9" i="25"/>
  <c r="O10" i="25"/>
  <c r="O11" i="25"/>
  <c r="O13" i="25"/>
  <c r="O14" i="25"/>
  <c r="O15" i="25"/>
  <c r="O21" i="25"/>
  <c r="O22" i="25"/>
  <c r="O23" i="25"/>
  <c r="O25" i="25"/>
  <c r="O26" i="25"/>
  <c r="O27" i="25"/>
  <c r="P125" i="25" l="1"/>
  <c r="O125" i="25"/>
  <c r="F31" i="25" l="1"/>
  <c r="L28" i="25" s="1"/>
  <c r="G15" i="26" l="1"/>
  <c r="O28" i="25"/>
  <c r="P28" i="25"/>
  <c r="P109" i="25" l="1"/>
  <c r="O109" i="25"/>
  <c r="F27" i="25" l="1"/>
  <c r="L24" i="25" s="1"/>
  <c r="F23" i="25"/>
  <c r="L20" i="25" s="1"/>
  <c r="F15" i="25"/>
  <c r="L12" i="25" s="1"/>
  <c r="F11" i="25"/>
  <c r="L8" i="25" s="1"/>
  <c r="O8" i="25" l="1"/>
  <c r="P8" i="25"/>
  <c r="P20" i="25"/>
  <c r="O20" i="25"/>
  <c r="P12" i="25"/>
  <c r="O12" i="25"/>
  <c r="P24" i="25"/>
  <c r="O24" i="25"/>
  <c r="G14" i="26" l="1"/>
  <c r="G13" i="26"/>
  <c r="G11" i="26"/>
  <c r="G10" i="26"/>
  <c r="M197" i="25" l="1"/>
  <c r="B197" i="25"/>
  <c r="F72" i="65" l="1"/>
  <c r="F53" i="65"/>
  <c r="D12" i="28"/>
  <c r="E22" i="28" l="1"/>
  <c r="E26" i="28" s="1"/>
  <c r="U26" i="28"/>
  <c r="J37" i="25" l="1"/>
  <c r="K37" i="25" s="1"/>
  <c r="J48" i="25"/>
  <c r="K48" i="25" s="1"/>
  <c r="J60" i="25"/>
  <c r="K60" i="25" s="1"/>
  <c r="J55" i="25"/>
  <c r="K55" i="25" s="1"/>
  <c r="J64" i="25"/>
  <c r="K64" i="25" s="1"/>
  <c r="J62" i="25"/>
  <c r="K62" i="25" s="1"/>
  <c r="J57" i="25"/>
  <c r="K57" i="25" s="1"/>
  <c r="J39" i="25"/>
  <c r="K39" i="25" s="1"/>
  <c r="J35" i="25"/>
  <c r="K35" i="25" s="1"/>
  <c r="J41" i="25"/>
  <c r="K41" i="25" s="1"/>
  <c r="J59" i="25"/>
  <c r="K59" i="25" s="1"/>
  <c r="J40" i="25"/>
  <c r="K40" i="25" s="1"/>
  <c r="J67" i="25"/>
  <c r="K67" i="25" s="1"/>
  <c r="J61" i="25"/>
  <c r="K61" i="25" s="1"/>
  <c r="J36" i="25"/>
  <c r="K36" i="25" s="1"/>
  <c r="J49" i="25"/>
  <c r="K49" i="25" s="1"/>
  <c r="J45" i="25"/>
  <c r="K45" i="25" s="1"/>
  <c r="J63" i="25"/>
  <c r="K63" i="25" s="1"/>
  <c r="J44" i="25"/>
  <c r="K44" i="25" s="1"/>
  <c r="J42" i="25"/>
  <c r="K42" i="25" s="1"/>
  <c r="J68" i="25"/>
  <c r="K68" i="25" s="1"/>
  <c r="J38" i="25"/>
  <c r="K38" i="25" s="1"/>
  <c r="I5" i="26"/>
  <c r="I118" i="26" s="1"/>
  <c r="J54" i="25"/>
  <c r="K54" i="25" s="1"/>
  <c r="J56" i="25"/>
  <c r="K56" i="25" s="1"/>
  <c r="J58" i="25"/>
  <c r="K58" i="25" s="1"/>
  <c r="J43" i="25"/>
  <c r="K43" i="25" s="1"/>
  <c r="I6" i="26"/>
  <c r="O118" i="26" l="1"/>
  <c r="J118" i="26"/>
  <c r="K118" i="26" s="1"/>
  <c r="I120" i="26"/>
  <c r="I119" i="26"/>
  <c r="I115" i="26"/>
  <c r="I117" i="26"/>
  <c r="I116" i="26"/>
  <c r="I114" i="26"/>
  <c r="I195" i="26"/>
  <c r="J195" i="26" s="1"/>
  <c r="K195" i="26" s="1"/>
  <c r="K194" i="26" s="1"/>
  <c r="K193" i="26" s="1"/>
  <c r="K50" i="25"/>
  <c r="I113" i="26"/>
  <c r="O111" i="26"/>
  <c r="I112" i="26"/>
  <c r="O112" i="26" s="1"/>
  <c r="I188" i="26"/>
  <c r="O188" i="26" s="1"/>
  <c r="I121" i="26"/>
  <c r="J121" i="26" s="1"/>
  <c r="K121" i="26" s="1"/>
  <c r="I192" i="26"/>
  <c r="I191" i="26"/>
  <c r="I190" i="26"/>
  <c r="I189" i="26"/>
  <c r="I187" i="26"/>
  <c r="I185" i="26"/>
  <c r="I179" i="26"/>
  <c r="I178" i="26"/>
  <c r="I186" i="26"/>
  <c r="I184" i="26"/>
  <c r="I183" i="26"/>
  <c r="I182" i="26"/>
  <c r="I181" i="26"/>
  <c r="I180" i="26"/>
  <c r="O177" i="26"/>
  <c r="I53" i="26"/>
  <c r="O53" i="26" s="1"/>
  <c r="I56" i="26"/>
  <c r="O56" i="26" s="1"/>
  <c r="I57" i="26"/>
  <c r="I55" i="26"/>
  <c r="I54" i="26"/>
  <c r="I146" i="26"/>
  <c r="I145" i="26"/>
  <c r="I144" i="26"/>
  <c r="I44" i="26"/>
  <c r="J44" i="26" s="1"/>
  <c r="K44" i="26" s="1"/>
  <c r="I175" i="26"/>
  <c r="O175" i="26" s="1"/>
  <c r="I79" i="26"/>
  <c r="O79" i="26" s="1"/>
  <c r="I36" i="26"/>
  <c r="J36" i="26" s="1"/>
  <c r="K36" i="26" s="1"/>
  <c r="I26" i="26"/>
  <c r="O26" i="26" s="1"/>
  <c r="I163" i="26"/>
  <c r="O163" i="26" s="1"/>
  <c r="I16" i="26"/>
  <c r="O16" i="26" s="1"/>
  <c r="I130" i="26"/>
  <c r="I67" i="26"/>
  <c r="O67" i="26" s="1"/>
  <c r="I88" i="26"/>
  <c r="O88" i="26" s="1"/>
  <c r="I147" i="26"/>
  <c r="O147" i="26" s="1"/>
  <c r="I139" i="26"/>
  <c r="O139" i="26" s="1"/>
  <c r="I73" i="26"/>
  <c r="O73" i="26" s="1"/>
  <c r="I96" i="26"/>
  <c r="J96" i="26" s="1"/>
  <c r="K96" i="26" s="1"/>
  <c r="I38" i="26"/>
  <c r="J38" i="26" s="1"/>
  <c r="I61" i="26"/>
  <c r="J61" i="26" s="1"/>
  <c r="K61" i="26" s="1"/>
  <c r="I90" i="26"/>
  <c r="O90" i="26" s="1"/>
  <c r="I107" i="26"/>
  <c r="O107" i="26" s="1"/>
  <c r="K69" i="25"/>
  <c r="K65" i="25"/>
  <c r="I17" i="26"/>
  <c r="O17" i="26" s="1"/>
  <c r="I43" i="26"/>
  <c r="J43" i="26" s="1"/>
  <c r="K43" i="26" s="1"/>
  <c r="I60" i="26"/>
  <c r="O60" i="26" s="1"/>
  <c r="I80" i="26"/>
  <c r="O80" i="26" s="1"/>
  <c r="I98" i="26"/>
  <c r="O98" i="26" s="1"/>
  <c r="I166" i="26"/>
  <c r="O166" i="26" s="1"/>
  <c r="I153" i="26"/>
  <c r="O153" i="26" s="1"/>
  <c r="I132" i="26"/>
  <c r="O132" i="26" s="1"/>
  <c r="I140" i="26"/>
  <c r="O140" i="26" s="1"/>
  <c r="I32" i="26"/>
  <c r="J32" i="26" s="1"/>
  <c r="K32" i="26" s="1"/>
  <c r="I65" i="26"/>
  <c r="O65" i="26" s="1"/>
  <c r="I45" i="26"/>
  <c r="J45" i="26" s="1"/>
  <c r="K45" i="26" s="1"/>
  <c r="I63" i="26"/>
  <c r="O63" i="26" s="1"/>
  <c r="I24" i="26"/>
  <c r="O24" i="26" s="1"/>
  <c r="I94" i="26"/>
  <c r="O94" i="26" s="1"/>
  <c r="I174" i="26"/>
  <c r="O174" i="26" s="1"/>
  <c r="I99" i="26"/>
  <c r="O99" i="26" s="1"/>
  <c r="I162" i="26"/>
  <c r="J162" i="26" s="1"/>
  <c r="K162" i="26" s="1"/>
  <c r="I35" i="26"/>
  <c r="J35" i="26" s="1"/>
  <c r="K35" i="26" s="1"/>
  <c r="I23" i="26"/>
  <c r="O23" i="26" s="1"/>
  <c r="I37" i="26"/>
  <c r="J37" i="26" s="1"/>
  <c r="K37" i="26" s="1"/>
  <c r="I58" i="26"/>
  <c r="O58" i="26" s="1"/>
  <c r="I76" i="26"/>
  <c r="J76" i="26" s="1"/>
  <c r="K76" i="26" s="1"/>
  <c r="I75" i="26"/>
  <c r="J75" i="26" s="1"/>
  <c r="K75" i="26" s="1"/>
  <c r="I49" i="26"/>
  <c r="J49" i="26" s="1"/>
  <c r="K49" i="26" s="1"/>
  <c r="I33" i="26"/>
  <c r="J33" i="26" s="1"/>
  <c r="K33" i="26" s="1"/>
  <c r="I77" i="26"/>
  <c r="O77" i="26" s="1"/>
  <c r="I81" i="26"/>
  <c r="O81" i="26" s="1"/>
  <c r="I25" i="26"/>
  <c r="O25" i="26" s="1"/>
  <c r="I91" i="26"/>
  <c r="J91" i="26" s="1"/>
  <c r="K91" i="26" s="1"/>
  <c r="I172" i="26"/>
  <c r="O172" i="26" s="1"/>
  <c r="I176" i="26"/>
  <c r="O176" i="26" s="1"/>
  <c r="I155" i="26"/>
  <c r="J155" i="26" s="1"/>
  <c r="K155" i="26" s="1"/>
  <c r="I108" i="26"/>
  <c r="O108" i="26" s="1"/>
  <c r="I133" i="26"/>
  <c r="J133" i="26" s="1"/>
  <c r="K133" i="26" s="1"/>
  <c r="I164" i="26"/>
  <c r="O164" i="26" s="1"/>
  <c r="I141" i="26"/>
  <c r="O141" i="26" s="1"/>
  <c r="K46" i="25"/>
  <c r="I30" i="26"/>
  <c r="J30" i="26" s="1"/>
  <c r="K30" i="26" s="1"/>
  <c r="I31" i="26"/>
  <c r="J31" i="26" s="1"/>
  <c r="K31" i="26" s="1"/>
  <c r="I39" i="26"/>
  <c r="J39" i="26" s="1"/>
  <c r="K39" i="26" s="1"/>
  <c r="I41" i="26"/>
  <c r="O41" i="26" s="1"/>
  <c r="I42" i="26"/>
  <c r="J42" i="26" s="1"/>
  <c r="K42" i="26" s="1"/>
  <c r="I84" i="26"/>
  <c r="J84" i="26" s="1"/>
  <c r="K84" i="26" s="1"/>
  <c r="K83" i="26" s="1"/>
  <c r="I74" i="26"/>
  <c r="J74" i="26" s="1"/>
  <c r="K74" i="26" s="1"/>
  <c r="I62" i="26"/>
  <c r="O62" i="26" s="1"/>
  <c r="I78" i="26"/>
  <c r="O78" i="26" s="1"/>
  <c r="I82" i="26"/>
  <c r="J82" i="26" s="1"/>
  <c r="K82" i="26" s="1"/>
  <c r="I27" i="26"/>
  <c r="O27" i="26" s="1"/>
  <c r="I93" i="26"/>
  <c r="O93" i="26" s="1"/>
  <c r="I87" i="26"/>
  <c r="O87" i="26" s="1"/>
  <c r="I173" i="26"/>
  <c r="J173" i="26" s="1"/>
  <c r="K173" i="26" s="1"/>
  <c r="I143" i="26"/>
  <c r="J143" i="26" s="1"/>
  <c r="K143" i="26" s="1"/>
  <c r="I156" i="26"/>
  <c r="O156" i="26" s="1"/>
  <c r="I124" i="26"/>
  <c r="O124" i="26" s="1"/>
  <c r="I161" i="26"/>
  <c r="O161" i="26" s="1"/>
  <c r="I138" i="26"/>
  <c r="J138" i="26" s="1"/>
  <c r="K138" i="26" s="1"/>
  <c r="O194" i="26"/>
  <c r="O8" i="26"/>
  <c r="O193" i="26"/>
  <c r="O18" i="26"/>
  <c r="J88" i="26"/>
  <c r="K88" i="26" s="1"/>
  <c r="O130" i="26"/>
  <c r="J130" i="26"/>
  <c r="K130" i="26" s="1"/>
  <c r="O85" i="26"/>
  <c r="I137" i="26"/>
  <c r="I136" i="26"/>
  <c r="I135" i="26"/>
  <c r="I134" i="26"/>
  <c r="I131" i="26"/>
  <c r="I129" i="26"/>
  <c r="I128" i="26"/>
  <c r="I127" i="26"/>
  <c r="I126" i="26"/>
  <c r="I125" i="26"/>
  <c r="O123" i="26"/>
  <c r="I109" i="26"/>
  <c r="I106" i="26"/>
  <c r="I105" i="26"/>
  <c r="I104" i="26"/>
  <c r="I103" i="26"/>
  <c r="I102" i="26"/>
  <c r="I101" i="26"/>
  <c r="I100" i="26"/>
  <c r="I160" i="26"/>
  <c r="I159" i="26"/>
  <c r="I158" i="26"/>
  <c r="I157" i="26"/>
  <c r="I154" i="26"/>
  <c r="I152" i="26"/>
  <c r="I151" i="26"/>
  <c r="I150" i="26"/>
  <c r="I149" i="26"/>
  <c r="I148" i="26"/>
  <c r="O142" i="26"/>
  <c r="I171" i="26"/>
  <c r="I170" i="26"/>
  <c r="I169" i="26"/>
  <c r="I168" i="26"/>
  <c r="I167" i="26"/>
  <c r="O165" i="26"/>
  <c r="O86" i="26"/>
  <c r="O122" i="26"/>
  <c r="I110" i="26"/>
  <c r="I92" i="26"/>
  <c r="O89" i="26"/>
  <c r="I97" i="26"/>
  <c r="O95" i="26"/>
  <c r="I12" i="26"/>
  <c r="O12" i="26" s="1"/>
  <c r="O28" i="26"/>
  <c r="O64" i="26"/>
  <c r="I15" i="26"/>
  <c r="O15" i="26" s="1"/>
  <c r="I70" i="26"/>
  <c r="J70" i="26" s="1"/>
  <c r="K70" i="26" s="1"/>
  <c r="I52" i="26"/>
  <c r="J52" i="26" s="1"/>
  <c r="K52" i="26" s="1"/>
  <c r="I47" i="26"/>
  <c r="J47" i="26" s="1"/>
  <c r="K47" i="26" s="1"/>
  <c r="I69" i="26"/>
  <c r="O69" i="26" s="1"/>
  <c r="I51" i="26"/>
  <c r="O51" i="26" s="1"/>
  <c r="I46" i="26"/>
  <c r="J46" i="26" s="1"/>
  <c r="K46" i="26" s="1"/>
  <c r="I59" i="26"/>
  <c r="J59" i="26" s="1"/>
  <c r="K59" i="26" s="1"/>
  <c r="I72" i="26"/>
  <c r="J72" i="26" s="1"/>
  <c r="K72" i="26" s="1"/>
  <c r="I68" i="26"/>
  <c r="J68" i="26" s="1"/>
  <c r="K68" i="26" s="1"/>
  <c r="I50" i="26"/>
  <c r="O50" i="26" s="1"/>
  <c r="I71" i="26"/>
  <c r="O71" i="26" s="1"/>
  <c r="I66" i="26"/>
  <c r="O66" i="26" s="1"/>
  <c r="I48" i="26"/>
  <c r="O48" i="26" s="1"/>
  <c r="O45" i="26"/>
  <c r="O83" i="26"/>
  <c r="O40" i="26"/>
  <c r="O34" i="26"/>
  <c r="O29" i="26"/>
  <c r="O9" i="26"/>
  <c r="I14" i="26"/>
  <c r="O14" i="26" s="1"/>
  <c r="I13" i="26"/>
  <c r="O13" i="26" s="1"/>
  <c r="I11" i="26"/>
  <c r="O11" i="26" s="1"/>
  <c r="I10" i="26"/>
  <c r="O10" i="26" s="1"/>
  <c r="J112" i="26" l="1"/>
  <c r="K112" i="26" s="1"/>
  <c r="O121" i="26"/>
  <c r="O113" i="26"/>
  <c r="O114" i="26"/>
  <c r="J114" i="26"/>
  <c r="K114" i="26" s="1"/>
  <c r="O116" i="26"/>
  <c r="J116" i="26"/>
  <c r="K116" i="26" s="1"/>
  <c r="O117" i="26"/>
  <c r="J117" i="26"/>
  <c r="K117" i="26" s="1"/>
  <c r="O115" i="26"/>
  <c r="J115" i="26"/>
  <c r="K115" i="26" s="1"/>
  <c r="O119" i="26"/>
  <c r="J119" i="26"/>
  <c r="K119" i="26" s="1"/>
  <c r="O82" i="26"/>
  <c r="O120" i="26"/>
  <c r="J120" i="26"/>
  <c r="K120" i="26" s="1"/>
  <c r="K29" i="26"/>
  <c r="J132" i="26"/>
  <c r="K132" i="26" s="1"/>
  <c r="O84" i="26"/>
  <c r="J24" i="26"/>
  <c r="K24" i="26" s="1"/>
  <c r="O31" i="26"/>
  <c r="J140" i="26"/>
  <c r="K140" i="26" s="1"/>
  <c r="L33" i="25"/>
  <c r="K16" i="26" s="1"/>
  <c r="O44" i="26"/>
  <c r="J26" i="26"/>
  <c r="K26" i="26" s="1"/>
  <c r="J98" i="26"/>
  <c r="K98" i="26" s="1"/>
  <c r="O49" i="26"/>
  <c r="J188" i="26"/>
  <c r="K188" i="26" s="1"/>
  <c r="J113" i="26"/>
  <c r="K113" i="26" s="1"/>
  <c r="O133" i="26"/>
  <c r="O36" i="26"/>
  <c r="J147" i="26"/>
  <c r="K147" i="26" s="1"/>
  <c r="O38" i="26"/>
  <c r="O42" i="26"/>
  <c r="J53" i="26"/>
  <c r="K53" i="26" s="1"/>
  <c r="O32" i="26"/>
  <c r="O43" i="26"/>
  <c r="J107" i="26"/>
  <c r="K107" i="26" s="1"/>
  <c r="O96" i="26"/>
  <c r="J41" i="26"/>
  <c r="O91" i="26"/>
  <c r="O162" i="26"/>
  <c r="O75" i="26"/>
  <c r="J80" i="26"/>
  <c r="K80" i="26" s="1"/>
  <c r="J81" i="26"/>
  <c r="K81" i="26" s="1"/>
  <c r="J174" i="26"/>
  <c r="K174" i="26" s="1"/>
  <c r="J23" i="26"/>
  <c r="K23" i="26" s="1"/>
  <c r="J176" i="26"/>
  <c r="K176" i="26" s="1"/>
  <c r="O173" i="26"/>
  <c r="J139" i="26"/>
  <c r="K139" i="26" s="1"/>
  <c r="J161" i="26"/>
  <c r="K161" i="26" s="1"/>
  <c r="J56" i="26"/>
  <c r="K56" i="26" s="1"/>
  <c r="O180" i="26"/>
  <c r="J180" i="26"/>
  <c r="K180" i="26" s="1"/>
  <c r="O184" i="26"/>
  <c r="J184" i="26"/>
  <c r="K184" i="26" s="1"/>
  <c r="O179" i="26"/>
  <c r="J179" i="26"/>
  <c r="K179" i="26" s="1"/>
  <c r="O189" i="26"/>
  <c r="J189" i="26"/>
  <c r="K189" i="26" s="1"/>
  <c r="O181" i="26"/>
  <c r="J181" i="26"/>
  <c r="K181" i="26" s="1"/>
  <c r="O186" i="26"/>
  <c r="J186" i="26"/>
  <c r="K186" i="26" s="1"/>
  <c r="O185" i="26"/>
  <c r="J185" i="26"/>
  <c r="K185" i="26" s="1"/>
  <c r="O190" i="26"/>
  <c r="J190" i="26"/>
  <c r="K190" i="26" s="1"/>
  <c r="O182" i="26"/>
  <c r="J182" i="26"/>
  <c r="K182" i="26" s="1"/>
  <c r="O178" i="26"/>
  <c r="J178" i="26"/>
  <c r="K178" i="26" s="1"/>
  <c r="O187" i="26"/>
  <c r="J187" i="26"/>
  <c r="K187" i="26" s="1"/>
  <c r="O191" i="26"/>
  <c r="J191" i="26"/>
  <c r="K191" i="26" s="1"/>
  <c r="O183" i="26"/>
  <c r="J183" i="26"/>
  <c r="K183" i="26" s="1"/>
  <c r="O192" i="26"/>
  <c r="J192" i="26"/>
  <c r="K192" i="26" s="1"/>
  <c r="J50" i="26"/>
  <c r="K50" i="26" s="1"/>
  <c r="O37" i="26"/>
  <c r="J87" i="26"/>
  <c r="K87" i="26" s="1"/>
  <c r="K86" i="26" s="1"/>
  <c r="J73" i="26"/>
  <c r="K73" i="26" s="1"/>
  <c r="J63" i="26"/>
  <c r="K63" i="26" s="1"/>
  <c r="J79" i="26"/>
  <c r="K79" i="26" s="1"/>
  <c r="J90" i="26"/>
  <c r="K90" i="26" s="1"/>
  <c r="J25" i="26"/>
  <c r="K25" i="26" s="1"/>
  <c r="J99" i="26"/>
  <c r="K99" i="26" s="1"/>
  <c r="O138" i="26"/>
  <c r="O54" i="26"/>
  <c r="J54" i="26"/>
  <c r="K54" i="26" s="1"/>
  <c r="O55" i="26"/>
  <c r="J55" i="26"/>
  <c r="K55" i="26" s="1"/>
  <c r="O57" i="26"/>
  <c r="J57" i="26"/>
  <c r="K57" i="26" s="1"/>
  <c r="C29" i="27"/>
  <c r="O145" i="26"/>
  <c r="J145" i="26"/>
  <c r="K145" i="26" s="1"/>
  <c r="O146" i="26"/>
  <c r="J146" i="26"/>
  <c r="K146" i="26" s="1"/>
  <c r="J67" i="26"/>
  <c r="K67" i="26" s="1"/>
  <c r="O61" i="26"/>
  <c r="J175" i="26"/>
  <c r="K175" i="26" s="1"/>
  <c r="J124" i="26"/>
  <c r="K124" i="26" s="1"/>
  <c r="J78" i="26"/>
  <c r="K78" i="26" s="1"/>
  <c r="J172" i="26"/>
  <c r="K172" i="26" s="1"/>
  <c r="J163" i="26"/>
  <c r="K163" i="26" s="1"/>
  <c r="O144" i="26"/>
  <c r="J144" i="26"/>
  <c r="K144" i="26" s="1"/>
  <c r="O30" i="26"/>
  <c r="J65" i="26"/>
  <c r="K65" i="26" s="1"/>
  <c r="O72" i="26"/>
  <c r="J156" i="26"/>
  <c r="K156" i="26" s="1"/>
  <c r="L52" i="25"/>
  <c r="K17" i="26" s="1"/>
  <c r="O76" i="26"/>
  <c r="J93" i="26"/>
  <c r="K93" i="26" s="1"/>
  <c r="J94" i="26"/>
  <c r="K94" i="26" s="1"/>
  <c r="O35" i="26"/>
  <c r="J60" i="26"/>
  <c r="K60" i="26" s="1"/>
  <c r="J62" i="26"/>
  <c r="K62" i="26" s="1"/>
  <c r="J77" i="26"/>
  <c r="K77" i="26" s="1"/>
  <c r="J108" i="26"/>
  <c r="K108" i="26" s="1"/>
  <c r="J153" i="26"/>
  <c r="K153" i="26" s="1"/>
  <c r="J166" i="26"/>
  <c r="K166" i="26" s="1"/>
  <c r="J164" i="26"/>
  <c r="K164" i="26" s="1"/>
  <c r="J27" i="26"/>
  <c r="K27" i="26" s="1"/>
  <c r="O155" i="26"/>
  <c r="O74" i="26"/>
  <c r="J141" i="26"/>
  <c r="K141" i="26" s="1"/>
  <c r="O39" i="26"/>
  <c r="J58" i="26"/>
  <c r="K58" i="26" s="1"/>
  <c r="O143" i="26"/>
  <c r="O33" i="26"/>
  <c r="C28" i="27"/>
  <c r="I32" i="63" s="1"/>
  <c r="H32" i="63" s="1"/>
  <c r="H33" i="63" s="1"/>
  <c r="C39" i="27"/>
  <c r="J109" i="26"/>
  <c r="K109" i="26" s="1"/>
  <c r="O109" i="26"/>
  <c r="J110" i="26"/>
  <c r="K110" i="26" s="1"/>
  <c r="O110" i="26"/>
  <c r="J48" i="26"/>
  <c r="K48" i="26" s="1"/>
  <c r="J51" i="26"/>
  <c r="K51" i="26" s="1"/>
  <c r="O46" i="26"/>
  <c r="O52" i="26"/>
  <c r="O167" i="26"/>
  <c r="J167" i="26"/>
  <c r="K167" i="26" s="1"/>
  <c r="O171" i="26"/>
  <c r="J171" i="26"/>
  <c r="K171" i="26" s="1"/>
  <c r="O150" i="26"/>
  <c r="J150" i="26"/>
  <c r="K150" i="26" s="1"/>
  <c r="O157" i="26"/>
  <c r="J157" i="26"/>
  <c r="K157" i="26" s="1"/>
  <c r="O100" i="26"/>
  <c r="J100" i="26"/>
  <c r="K100" i="26" s="1"/>
  <c r="O104" i="26"/>
  <c r="J104" i="26"/>
  <c r="K104" i="26" s="1"/>
  <c r="O128" i="26"/>
  <c r="J128" i="26"/>
  <c r="K128" i="26" s="1"/>
  <c r="O135" i="26"/>
  <c r="J135" i="26"/>
  <c r="K135" i="26" s="1"/>
  <c r="J97" i="26"/>
  <c r="K97" i="26" s="1"/>
  <c r="O97" i="26"/>
  <c r="O168" i="26"/>
  <c r="J168" i="26"/>
  <c r="K168" i="26" s="1"/>
  <c r="O151" i="26"/>
  <c r="J151" i="26"/>
  <c r="K151" i="26" s="1"/>
  <c r="O158" i="26"/>
  <c r="J158" i="26"/>
  <c r="K158" i="26" s="1"/>
  <c r="O101" i="26"/>
  <c r="J101" i="26"/>
  <c r="K101" i="26" s="1"/>
  <c r="O105" i="26"/>
  <c r="J105" i="26"/>
  <c r="K105" i="26" s="1"/>
  <c r="O125" i="26"/>
  <c r="J125" i="26"/>
  <c r="K125" i="26" s="1"/>
  <c r="O129" i="26"/>
  <c r="J129" i="26"/>
  <c r="K129" i="26" s="1"/>
  <c r="O136" i="26"/>
  <c r="J136" i="26"/>
  <c r="K136" i="26" s="1"/>
  <c r="O169" i="26"/>
  <c r="J169" i="26"/>
  <c r="K169" i="26" s="1"/>
  <c r="O148" i="26"/>
  <c r="J148" i="26"/>
  <c r="K148" i="26" s="1"/>
  <c r="O152" i="26"/>
  <c r="J152" i="26"/>
  <c r="K152" i="26" s="1"/>
  <c r="O159" i="26"/>
  <c r="J159" i="26"/>
  <c r="K159" i="26" s="1"/>
  <c r="O102" i="26"/>
  <c r="J102" i="26"/>
  <c r="K102" i="26" s="1"/>
  <c r="O106" i="26"/>
  <c r="J106" i="26"/>
  <c r="K106" i="26" s="1"/>
  <c r="O126" i="26"/>
  <c r="J126" i="26"/>
  <c r="K126" i="26" s="1"/>
  <c r="O131" i="26"/>
  <c r="J131" i="26"/>
  <c r="K131" i="26" s="1"/>
  <c r="O137" i="26"/>
  <c r="J137" i="26"/>
  <c r="K137" i="26" s="1"/>
  <c r="O92" i="26"/>
  <c r="J92" i="26"/>
  <c r="K92" i="26" s="1"/>
  <c r="O170" i="26"/>
  <c r="J170" i="26"/>
  <c r="K170" i="26" s="1"/>
  <c r="O149" i="26"/>
  <c r="J149" i="26"/>
  <c r="K149" i="26" s="1"/>
  <c r="O154" i="26"/>
  <c r="J154" i="26"/>
  <c r="K154" i="26" s="1"/>
  <c r="O160" i="26"/>
  <c r="J160" i="26"/>
  <c r="K160" i="26" s="1"/>
  <c r="O103" i="26"/>
  <c r="J103" i="26"/>
  <c r="K103" i="26" s="1"/>
  <c r="O127" i="26"/>
  <c r="J127" i="26"/>
  <c r="K127" i="26" s="1"/>
  <c r="O134" i="26"/>
  <c r="J134" i="26"/>
  <c r="K134" i="26" s="1"/>
  <c r="C17" i="27"/>
  <c r="O59" i="26"/>
  <c r="O70" i="26"/>
  <c r="J71" i="26"/>
  <c r="K71" i="26" s="1"/>
  <c r="J66" i="26"/>
  <c r="K66" i="26" s="1"/>
  <c r="J69" i="26"/>
  <c r="K69" i="26" s="1"/>
  <c r="O47" i="26"/>
  <c r="O68" i="26"/>
  <c r="J15" i="26"/>
  <c r="K15" i="26" s="1"/>
  <c r="K111" i="26" l="1"/>
  <c r="P33" i="25"/>
  <c r="O33" i="25"/>
  <c r="K177" i="26"/>
  <c r="C27" i="27" s="1"/>
  <c r="K142" i="26"/>
  <c r="K165" i="26"/>
  <c r="K123" i="26"/>
  <c r="C19" i="27"/>
  <c r="C22" i="27"/>
  <c r="K89" i="26"/>
  <c r="C20" i="27" s="1"/>
  <c r="G32" i="63"/>
  <c r="G33" i="63" s="1"/>
  <c r="I33" i="63" s="1"/>
  <c r="K95" i="26"/>
  <c r="C21" i="27" s="1"/>
  <c r="K64" i="26"/>
  <c r="I19" i="26"/>
  <c r="O19" i="26" s="1"/>
  <c r="B71" i="25"/>
  <c r="I22" i="26"/>
  <c r="O22" i="26" s="1"/>
  <c r="B83" i="25"/>
  <c r="I21" i="26"/>
  <c r="O21" i="26" s="1"/>
  <c r="B79" i="25"/>
  <c r="I20" i="26"/>
  <c r="O20" i="26" s="1"/>
  <c r="B75" i="25"/>
  <c r="K122" i="26" l="1"/>
  <c r="K85" i="26"/>
  <c r="C18" i="27" s="1"/>
  <c r="I26" i="63" s="1"/>
  <c r="E26" i="63" s="1"/>
  <c r="E27" i="63" s="1"/>
  <c r="C16" i="27"/>
  <c r="J20" i="26"/>
  <c r="J22" i="26"/>
  <c r="J21" i="26"/>
  <c r="J19" i="26"/>
  <c r="G26" i="63" l="1"/>
  <c r="F26" i="63"/>
  <c r="F85" i="25"/>
  <c r="F86" i="25" s="1"/>
  <c r="L83" i="25" s="1"/>
  <c r="F81" i="25"/>
  <c r="F82" i="25" s="1"/>
  <c r="L79" i="25" s="1"/>
  <c r="F77" i="25"/>
  <c r="F78" i="25" s="1"/>
  <c r="L75" i="25" s="1"/>
  <c r="F73" i="25"/>
  <c r="F74" i="25" s="1"/>
  <c r="L71" i="25" s="1"/>
  <c r="O71" i="25" l="1"/>
  <c r="P71" i="25"/>
  <c r="G22" i="26"/>
  <c r="P83" i="25"/>
  <c r="O83" i="25"/>
  <c r="G21" i="26"/>
  <c r="P79" i="25"/>
  <c r="O79" i="25"/>
  <c r="G19" i="26"/>
  <c r="G20" i="26"/>
  <c r="P75" i="25"/>
  <c r="O75" i="25"/>
  <c r="K41" i="26"/>
  <c r="K40" i="26" s="1"/>
  <c r="K22" i="26" l="1"/>
  <c r="K19" i="26"/>
  <c r="K20" i="26"/>
  <c r="C25" i="27" s="1"/>
  <c r="K21" i="26"/>
  <c r="C26" i="27" s="1"/>
  <c r="C24" i="27" l="1"/>
  <c r="C15" i="27"/>
  <c r="K18" i="26"/>
  <c r="C23" i="27" s="1"/>
  <c r="I29" i="63" s="1"/>
  <c r="G29" i="63" s="1"/>
  <c r="G30" i="63" s="1"/>
  <c r="H29" i="63" l="1"/>
  <c r="H30" i="63" s="1"/>
  <c r="I30" i="63" l="1"/>
  <c r="J13" i="26" l="1"/>
  <c r="K13" i="26" s="1"/>
  <c r="C11" i="27" s="1"/>
  <c r="I20" i="63" s="1"/>
  <c r="J12" i="26"/>
  <c r="K12" i="26" s="1"/>
  <c r="C10" i="27" s="1"/>
  <c r="I17" i="63" s="1"/>
  <c r="H17" i="63" s="1"/>
  <c r="H18" i="63" l="1"/>
  <c r="E20" i="63"/>
  <c r="D20" i="63"/>
  <c r="C20" i="63"/>
  <c r="C21" i="63" s="1"/>
  <c r="G20" i="63"/>
  <c r="G35" i="63" s="1"/>
  <c r="F20" i="63"/>
  <c r="F35" i="63" s="1"/>
  <c r="H20" i="63"/>
  <c r="H35" i="63" s="1"/>
  <c r="G27" i="63"/>
  <c r="F27" i="63"/>
  <c r="J11" i="26"/>
  <c r="K11" i="26" s="1"/>
  <c r="C9" i="27" s="1"/>
  <c r="I14" i="63" s="1"/>
  <c r="C14" i="63" s="1"/>
  <c r="J10" i="26"/>
  <c r="K10" i="26" s="1"/>
  <c r="C38" i="27" s="1"/>
  <c r="J14" i="26"/>
  <c r="K14" i="26" s="1"/>
  <c r="H21" i="63" l="1"/>
  <c r="I27" i="63"/>
  <c r="F21" i="63"/>
  <c r="D21" i="63"/>
  <c r="G21" i="63"/>
  <c r="E21" i="63"/>
  <c r="K9" i="26"/>
  <c r="K38" i="26"/>
  <c r="K34" i="26" s="1"/>
  <c r="C37" i="27" l="1"/>
  <c r="C40" i="27" s="1"/>
  <c r="D39" i="27" s="1"/>
  <c r="K8" i="26"/>
  <c r="C7" i="27" s="1"/>
  <c r="I21" i="63"/>
  <c r="C14" i="27"/>
  <c r="C8" i="27"/>
  <c r="C13" i="27"/>
  <c r="I11" i="63" l="1"/>
  <c r="C11" i="63" s="1"/>
  <c r="K28" i="26"/>
  <c r="K196" i="26" s="1"/>
  <c r="L118" i="26" s="1"/>
  <c r="D37" i="27"/>
  <c r="D38" i="27"/>
  <c r="L120" i="26" l="1"/>
  <c r="L121" i="26"/>
  <c r="L117" i="26"/>
  <c r="L119" i="26"/>
  <c r="L115" i="26"/>
  <c r="L116" i="26"/>
  <c r="L114" i="26"/>
  <c r="L10" i="26"/>
  <c r="L113" i="26"/>
  <c r="L112" i="26"/>
  <c r="L188" i="26"/>
  <c r="L192" i="26"/>
  <c r="L178" i="26"/>
  <c r="L189" i="26"/>
  <c r="L181" i="26"/>
  <c r="L183" i="26"/>
  <c r="L182" i="26"/>
  <c r="L179" i="26"/>
  <c r="L185" i="26"/>
  <c r="L180" i="26"/>
  <c r="L191" i="26"/>
  <c r="L190" i="26"/>
  <c r="L184" i="26"/>
  <c r="L187" i="26"/>
  <c r="L186" i="26"/>
  <c r="L56" i="26"/>
  <c r="L53" i="26"/>
  <c r="L55" i="26"/>
  <c r="L57" i="26"/>
  <c r="L54" i="26"/>
  <c r="L144" i="26"/>
  <c r="L146" i="26"/>
  <c r="L145" i="26"/>
  <c r="D40" i="27"/>
  <c r="L195" i="26"/>
  <c r="L194" i="26" s="1"/>
  <c r="D29" i="27" s="1"/>
  <c r="C12" i="27"/>
  <c r="I18" i="63"/>
  <c r="L177" i="26" l="1"/>
  <c r="D27" i="27" s="1"/>
  <c r="L111" i="26"/>
  <c r="D22" i="27" s="1"/>
  <c r="I23" i="63"/>
  <c r="C23" i="63" s="1"/>
  <c r="C35" i="63" s="1"/>
  <c r="C30" i="27"/>
  <c r="C15" i="63"/>
  <c r="I15" i="63" s="1"/>
  <c r="D23" i="63" l="1"/>
  <c r="D24" i="63" s="1"/>
  <c r="C24" i="63"/>
  <c r="E23" i="63"/>
  <c r="E35" i="63" s="1"/>
  <c r="C38" i="63"/>
  <c r="D35" i="63" l="1"/>
  <c r="I35" i="63" s="1"/>
  <c r="D36" i="63" s="1"/>
  <c r="E24" i="63"/>
  <c r="I24" i="63" s="1"/>
  <c r="F36" i="63" l="1"/>
  <c r="H38" i="63"/>
  <c r="I38" i="63" s="1"/>
  <c r="E36" i="63"/>
  <c r="G36" i="63"/>
  <c r="D38" i="63"/>
  <c r="C36" i="63"/>
  <c r="D39" i="63" s="1"/>
  <c r="F38" i="63"/>
  <c r="E38" i="63"/>
  <c r="H36" i="63"/>
  <c r="G38" i="63"/>
  <c r="C39" i="63" l="1"/>
  <c r="E39" i="63"/>
  <c r="G39" i="63"/>
  <c r="I36" i="63"/>
  <c r="H39" i="63"/>
  <c r="I39" i="63" s="1"/>
  <c r="F39" i="63"/>
  <c r="L78" i="26"/>
  <c r="L65" i="26" l="1"/>
  <c r="L134" i="26"/>
  <c r="L167" i="26"/>
  <c r="L69" i="26"/>
  <c r="L58" i="26"/>
  <c r="L149" i="26"/>
  <c r="L158" i="26"/>
  <c r="L91" i="26"/>
  <c r="L99" i="26"/>
  <c r="L79" i="26"/>
  <c r="L67" i="26"/>
  <c r="L92" i="26"/>
  <c r="L126" i="26"/>
  <c r="L45" i="26"/>
  <c r="L70" i="26"/>
  <c r="L66" i="26"/>
  <c r="L82" i="26"/>
  <c r="L103" i="26"/>
  <c r="L110" i="26"/>
  <c r="L73" i="26"/>
  <c r="L12" i="26"/>
  <c r="L102" i="26"/>
  <c r="L72" i="26"/>
  <c r="L61" i="26"/>
  <c r="L174" i="26"/>
  <c r="L156" i="26"/>
  <c r="L148" i="26"/>
  <c r="L21" i="26"/>
  <c r="L39" i="26"/>
  <c r="L176" i="26"/>
  <c r="L49" i="26"/>
  <c r="L166" i="26"/>
  <c r="L35" i="26"/>
  <c r="L152" i="26"/>
  <c r="L151" i="26"/>
  <c r="L171" i="26"/>
  <c r="L71" i="26"/>
  <c r="L163" i="26"/>
  <c r="L14" i="26"/>
  <c r="L140" i="26"/>
  <c r="L109" i="26"/>
  <c r="L104" i="26"/>
  <c r="L68" i="26"/>
  <c r="L27" i="26"/>
  <c r="L124" i="26"/>
  <c r="L17" i="26"/>
  <c r="L16" i="26"/>
  <c r="L19" i="26"/>
  <c r="L90" i="26"/>
  <c r="L108" i="26"/>
  <c r="L23" i="26"/>
  <c r="L138" i="26"/>
  <c r="L94" i="26"/>
  <c r="L141" i="26"/>
  <c r="L36" i="26"/>
  <c r="L150" i="26"/>
  <c r="L75" i="26"/>
  <c r="L24" i="26"/>
  <c r="L43" i="26"/>
  <c r="L131" i="26"/>
  <c r="L22" i="26"/>
  <c r="L106" i="26"/>
  <c r="L13" i="26"/>
  <c r="L168" i="26"/>
  <c r="L154" i="26"/>
  <c r="L42" i="26"/>
  <c r="L93" i="26"/>
  <c r="L15" i="26"/>
  <c r="L147" i="26"/>
  <c r="L60" i="26"/>
  <c r="L32" i="26"/>
  <c r="L101" i="26"/>
  <c r="L173" i="26"/>
  <c r="L129" i="26"/>
  <c r="L128" i="26"/>
  <c r="L105" i="26"/>
  <c r="L31" i="26"/>
  <c r="L161" i="26"/>
  <c r="L30" i="26"/>
  <c r="L20" i="26"/>
  <c r="L139" i="26"/>
  <c r="L130" i="26"/>
  <c r="L125" i="26"/>
  <c r="L136" i="26"/>
  <c r="L159" i="26"/>
  <c r="L50" i="26"/>
  <c r="L37" i="26"/>
  <c r="L26" i="26"/>
  <c r="L153" i="26"/>
  <c r="L80" i="26"/>
  <c r="L77" i="26"/>
  <c r="L63" i="26"/>
  <c r="L76" i="26"/>
  <c r="L38" i="26"/>
  <c r="L172" i="26"/>
  <c r="L81" i="26"/>
  <c r="L51" i="26"/>
  <c r="L137" i="26"/>
  <c r="L84" i="26"/>
  <c r="L83" i="26" s="1"/>
  <c r="D17" i="27" s="1"/>
  <c r="L143" i="26"/>
  <c r="L41" i="26"/>
  <c r="L96" i="26"/>
  <c r="L87" i="26"/>
  <c r="L59" i="26"/>
  <c r="L88" i="26"/>
  <c r="L48" i="26"/>
  <c r="L127" i="26"/>
  <c r="L46" i="26"/>
  <c r="L98" i="26"/>
  <c r="L169" i="26"/>
  <c r="L100" i="26"/>
  <c r="L132" i="26"/>
  <c r="L157" i="26"/>
  <c r="L162" i="26"/>
  <c r="L33" i="26"/>
  <c r="L107" i="26"/>
  <c r="L25" i="26"/>
  <c r="L164" i="26"/>
  <c r="L47" i="26"/>
  <c r="L52" i="26"/>
  <c r="L44" i="26"/>
  <c r="L97" i="26"/>
  <c r="L133" i="26"/>
  <c r="L155" i="26"/>
  <c r="L160" i="26"/>
  <c r="L62" i="26"/>
  <c r="L74" i="26"/>
  <c r="L175" i="26"/>
  <c r="L170" i="26"/>
  <c r="L135" i="26"/>
  <c r="L11" i="26"/>
  <c r="L165" i="26" l="1"/>
  <c r="D26" i="27" s="1"/>
  <c r="L142" i="26"/>
  <c r="D25" i="27" s="1"/>
  <c r="L123" i="26"/>
  <c r="L34" i="26"/>
  <c r="D14" i="27" s="1"/>
  <c r="D10" i="27"/>
  <c r="D9" i="27"/>
  <c r="L9" i="26"/>
  <c r="L89" i="26"/>
  <c r="D20" i="27" s="1"/>
  <c r="L86" i="26"/>
  <c r="L29" i="26"/>
  <c r="L18" i="26"/>
  <c r="D11" i="27" s="1"/>
  <c r="L95" i="26"/>
  <c r="D21" i="27" s="1"/>
  <c r="L64" i="26"/>
  <c r="D16" i="27" s="1"/>
  <c r="L40" i="26"/>
  <c r="D15" i="27" s="1"/>
  <c r="L122" i="26" l="1"/>
  <c r="D23" i="27" s="1"/>
  <c r="D19" i="27"/>
  <c r="L85" i="26"/>
  <c r="D18" i="27" s="1"/>
  <c r="G47" i="27" s="1"/>
  <c r="D8" i="27"/>
  <c r="L8" i="26"/>
  <c r="D7" i="27" s="1"/>
  <c r="C12" i="63"/>
  <c r="D24" i="27"/>
  <c r="L28" i="26"/>
  <c r="D12" i="27" s="1"/>
  <c r="D13" i="27"/>
  <c r="F47" i="27" l="1"/>
  <c r="I12" i="63"/>
  <c r="L193" i="26"/>
  <c r="D28" i="27" s="1"/>
  <c r="D30" i="27" s="1"/>
  <c r="L196" i="26" l="1"/>
</calcChain>
</file>

<file path=xl/comments1.xml><?xml version="1.0" encoding="utf-8"?>
<comments xmlns="http://schemas.openxmlformats.org/spreadsheetml/2006/main">
  <authors>
    <author>Tubal Henrique Cândido de Matos</author>
  </authors>
  <commentList>
    <comment ref="L254" authorId="0" shapeId="0">
      <text>
        <r>
          <rPr>
            <b/>
            <sz val="9"/>
            <color indexed="81"/>
            <rFont val="Segoe UI"/>
            <family val="2"/>
          </rPr>
          <t>Tubal Henrique Cândido de Matos:</t>
        </r>
        <r>
          <rPr>
            <sz val="9"/>
            <color indexed="81"/>
            <rFont val="Segoe UI"/>
            <family val="2"/>
          </rPr>
          <t xml:space="preserve">
Cálculo da quantidade em "t" ao lado = 3,963936 toneladas de CM 30</t>
        </r>
      </text>
    </comment>
    <comment ref="R255" authorId="0" shapeId="0">
      <text>
        <r>
          <rPr>
            <b/>
            <sz val="9"/>
            <color indexed="81"/>
            <rFont val="Segoe UI"/>
            <family val="2"/>
          </rPr>
          <t>Tubal Henrique Cândido de Matos:</t>
        </r>
        <r>
          <rPr>
            <sz val="9"/>
            <color indexed="81"/>
            <rFont val="Segoe UI"/>
            <family val="2"/>
          </rPr>
          <t xml:space="preserve">
Quantidade, obtida na Aba Sicro Revestimento 2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J6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Indice de PAVIMENTAÇÃO - DNIT</t>
        </r>
      </text>
    </comment>
  </commentList>
</comments>
</file>

<file path=xl/sharedStrings.xml><?xml version="1.0" encoding="utf-8"?>
<sst xmlns="http://schemas.openxmlformats.org/spreadsheetml/2006/main" count="3292" uniqueCount="760">
  <si>
    <t>CÓDIGO</t>
  </si>
  <si>
    <t>DESCRIÇÃO</t>
  </si>
  <si>
    <t>QUANTIDADE</t>
  </si>
  <si>
    <t>UNIDADE</t>
  </si>
  <si>
    <t>m³</t>
  </si>
  <si>
    <t>SINAPI</t>
  </si>
  <si>
    <t>PREÇO UNIT. COM BDI               (R$)</t>
  </si>
  <si>
    <t>PREÇO TOTAL COM BDI               (R$)</t>
  </si>
  <si>
    <t>BASE</t>
  </si>
  <si>
    <t>SICRO</t>
  </si>
  <si>
    <t>TOTAL</t>
  </si>
  <si>
    <t/>
  </si>
  <si>
    <t>t</t>
  </si>
  <si>
    <t>LN</t>
  </si>
  <si>
    <t>P</t>
  </si>
  <si>
    <t>tkm</t>
  </si>
  <si>
    <t>Transporte com caminhão basculante de 10 m³ - rodovia pavimentada</t>
  </si>
  <si>
    <t>M0192</t>
  </si>
  <si>
    <t>Brita 2</t>
  </si>
  <si>
    <t>kg</t>
  </si>
  <si>
    <t>PREÇO UNIT.     SEM BDI               (R$)</t>
  </si>
  <si>
    <t>UN</t>
  </si>
  <si>
    <t>H</t>
  </si>
  <si>
    <t>ALMOXARIFE</t>
  </si>
  <si>
    <t>AUXILIAR DE LABORATORISTA DE SOLOS E DE CONCRETO</t>
  </si>
  <si>
    <t>LOCACAO DE CONTAINER 2,30  X  6,00 M, ALT. 2,50 M, PARA ESCRITORIO, SEM DIVISORIAS INTERNAS E SEM SANITARIO</t>
  </si>
  <si>
    <t>LOCACAO DE CONTAINER 2,30 X 4,30 M, ALT. 2,50 M, P/ SANITARIO, C/ 5 BACIAS, 1 LAVATORIO E 4 MICTORIOS</t>
  </si>
  <si>
    <t>TOPOGRAFO</t>
  </si>
  <si>
    <t>CANTEIRO DE OBRAS</t>
  </si>
  <si>
    <t>AUXILIAR DE TOPÓGRAFO COM ENCARGOS COMPLEMENTARES</t>
  </si>
  <si>
    <t>VIGIA NOTURNO COM ENCARGOS COMPLEMENTARES</t>
  </si>
  <si>
    <t>ALMOXARIFE COM ENCARGOS COMPLEMENTARES</t>
  </si>
  <si>
    <t>ENGENHEIRO CIVIL DE OBRA PLENO COM ENCARGOS COMPLEMENTARES</t>
  </si>
  <si>
    <t>MESTRE DE OBRAS COM ENCARGOS COMPLEMENTARES</t>
  </si>
  <si>
    <t>TOPOGRAFO COM ENCARGOS COMPLEMENTARES</t>
  </si>
  <si>
    <t>MES</t>
  </si>
  <si>
    <t>TÉCNICO EM SEGURANÇA DO TRABALHO COM ENCARGOS COMPLEMENTARES</t>
  </si>
  <si>
    <t>AUXILIAR DE LABORATORISTA DE SOLOS E DE CONCRETO COM ENCARGOS COMPLEMENTARES</t>
  </si>
  <si>
    <t>TÉCNICO DE LABORATÓRIO E CAMPO DE CONSTRUÇÃO COM ENCARGOS COMPLEMENTARES</t>
  </si>
  <si>
    <t xml:space="preserve">MEMÓRIA DE CÁLCULO </t>
  </si>
  <si>
    <t>1.1</t>
  </si>
  <si>
    <t>Largura(m)</t>
  </si>
  <si>
    <t>Comp.(m)</t>
  </si>
  <si>
    <t>Altura(m)</t>
  </si>
  <si>
    <t>Quant.</t>
  </si>
  <si>
    <t>Área(m²)</t>
  </si>
  <si>
    <t>Volume(m³)</t>
  </si>
  <si>
    <t>Total</t>
  </si>
  <si>
    <t>2.1</t>
  </si>
  <si>
    <t>ENGENHEIRO CIVIL</t>
  </si>
  <si>
    <t>2.2</t>
  </si>
  <si>
    <t>ENCARREGADO</t>
  </si>
  <si>
    <t>2.3</t>
  </si>
  <si>
    <t>VIGILANTE</t>
  </si>
  <si>
    <t>2.4</t>
  </si>
  <si>
    <t>ADMINISTRAÇÃO DA OBRA</t>
  </si>
  <si>
    <t>Horas/Mês</t>
  </si>
  <si>
    <t>Repetido</t>
  </si>
  <si>
    <t>Nº Meses</t>
  </si>
  <si>
    <t>UND</t>
  </si>
  <si>
    <t>ITEM</t>
  </si>
  <si>
    <t>DESCRIÇÃO DOS SERVIÇOS</t>
  </si>
  <si>
    <t>BDI ADOTADO</t>
  </si>
  <si>
    <t xml:space="preserve">BDI </t>
  </si>
  <si>
    <t>BDI DIF.</t>
  </si>
  <si>
    <t>PLANILHA ORÇAMENTÁRIA</t>
  </si>
  <si>
    <t>%</t>
  </si>
  <si>
    <t>TOTAL GERAL</t>
  </si>
  <si>
    <t>QUADRO RESUMO</t>
  </si>
  <si>
    <t>PERCENTUAL          %</t>
  </si>
  <si>
    <t>VALOR             (R$)</t>
  </si>
  <si>
    <t xml:space="preserve">T O T A L   G E R A L    </t>
  </si>
  <si>
    <t>DETALHAMENTO DO BDI</t>
  </si>
  <si>
    <t>Serviços</t>
  </si>
  <si>
    <t>Item</t>
  </si>
  <si>
    <t>Descrição dos serviços</t>
  </si>
  <si>
    <t>Preço de Venda (%)</t>
  </si>
  <si>
    <t>Custo Direto (%)</t>
  </si>
  <si>
    <t>Administração Central (AC)</t>
  </si>
  <si>
    <t>Impostos e Taxas (I)</t>
  </si>
  <si>
    <t>PIS</t>
  </si>
  <si>
    <t>ISS</t>
  </si>
  <si>
    <t>CPRB - Desoneração Folha de Pagamento</t>
  </si>
  <si>
    <t>3</t>
  </si>
  <si>
    <t xml:space="preserve">Seguro e Garantia (SG) </t>
  </si>
  <si>
    <t>4</t>
  </si>
  <si>
    <t>Risco (R)</t>
  </si>
  <si>
    <t>Despesas Financeiras (DF)</t>
  </si>
  <si>
    <t>Lucro (L)</t>
  </si>
  <si>
    <t>BDI* (%)</t>
  </si>
  <si>
    <t>Acórdão nº 2622/2013 - TCU - Plenário - Publicado no DOU de 04/10/2013</t>
  </si>
  <si>
    <t>(*) BDI (%) = ((((1+AC+SG+R)*(1+DF)*(1+L))/(1-I))-1)</t>
  </si>
  <si>
    <t>TAXA DE JUROS SELIC</t>
  </si>
  <si>
    <t>SITE RECEITA FEDERAL</t>
  </si>
  <si>
    <t>Mês/Ano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</si>
  <si>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</si>
  <si>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</si>
  <si>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</si>
  <si>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</si>
  <si>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</si>
  <si>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</si>
  <si>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</si>
  <si>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</si>
  <si>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</si>
  <si>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</si>
  <si>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</si>
  <si>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</si>
  <si>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TAXA DE JUROS SELIC (12 MESES)</t>
  </si>
  <si>
    <t>TOTAL (%)</t>
  </si>
  <si>
    <t>MÉDIA (%)</t>
  </si>
  <si>
    <t>DETALHAMENTO DO BDI - DIFERENCIADO</t>
  </si>
  <si>
    <t>Intervalo de admissibilidade</t>
  </si>
  <si>
    <t>Mínimo
 (%)</t>
  </si>
  <si>
    <t>Médio
 (%)</t>
  </si>
  <si>
    <t>Máximo
 (%)</t>
  </si>
  <si>
    <t>Valores Propostos
 (%)</t>
  </si>
  <si>
    <t>Transporte com caminhão basculante de 10 m³ - rodovia em leito natural</t>
  </si>
  <si>
    <t>E9571</t>
  </si>
  <si>
    <t>Transporte com caminhão carroceria de 15 t - rodovia em leito natural</t>
  </si>
  <si>
    <t>Mês</t>
  </si>
  <si>
    <t>MÊS</t>
  </si>
  <si>
    <t>CANTEIRO DE OBRA (CONTEINER/ESCRITÓRIO)</t>
  </si>
  <si>
    <t>CANTEIRO DE OBRA (CONTEINER/ALMOXARIFADO)</t>
  </si>
  <si>
    <t>CANTEIRO DE OBRA  (CONTEINER/REFEITÓRIO)</t>
  </si>
  <si>
    <t>CANTEIRO DE OBRA  (CONTEINER/SANITÁRIO)</t>
  </si>
  <si>
    <t>CONTEINER/(ESCRITÓRIO)</t>
  </si>
  <si>
    <t>CONTEINER/(ALMOXARIFADO)</t>
  </si>
  <si>
    <t>CONTEINER/(REFEITÓRIO)</t>
  </si>
  <si>
    <t>CONTEINER/(SANITÁRIO)</t>
  </si>
  <si>
    <t>LOCACAO DE CONTAINER PARA ALMOXARIFADO</t>
  </si>
  <si>
    <t>LOCACAO DE CONTAINER PARA REFEITÓRIO</t>
  </si>
  <si>
    <t>E9665</t>
  </si>
  <si>
    <t>R$</t>
  </si>
  <si>
    <t>CONTEINER (CANTEIRO DE OBRA)</t>
  </si>
  <si>
    <t>BDI</t>
  </si>
  <si>
    <t>RESUMO</t>
  </si>
  <si>
    <t>1.1.1</t>
  </si>
  <si>
    <t>MOBILIZAÇÃO</t>
  </si>
  <si>
    <t>DESMOBILIZAÇÃO</t>
  </si>
  <si>
    <t>km</t>
  </si>
  <si>
    <t>M3505</t>
  </si>
  <si>
    <t>Material demolido - concreto simples</t>
  </si>
  <si>
    <t>E9506</t>
  </si>
  <si>
    <t>E9667</t>
  </si>
  <si>
    <t>DEMOLIÇÃO DE CONCRETO SIMPLES</t>
  </si>
  <si>
    <t>EXTINTOR DE INCÊNDIO</t>
  </si>
  <si>
    <t>EXTINTOR INCENDIO TP PO QUIMICO 6KG - FORNECIMENTO E INSTALACAO</t>
  </si>
  <si>
    <t>EXTINTOR DE INCÊNDIO (FORN. / INST.)</t>
  </si>
  <si>
    <t>m</t>
  </si>
  <si>
    <t>M0082</t>
  </si>
  <si>
    <t>Areia média lavada</t>
  </si>
  <si>
    <t>Concreto fck = 20 MPa - confecção em betoneira e lançamento manual - areia e brita comerciais</t>
  </si>
  <si>
    <t>M0030</t>
  </si>
  <si>
    <t>Aditivo plastificante e retardador de pega para concreto e argamassa</t>
  </si>
  <si>
    <t>M0191</t>
  </si>
  <si>
    <t>Brita 1</t>
  </si>
  <si>
    <t>M0424</t>
  </si>
  <si>
    <t>Transporte com caminhão carroceria de 15 t - rodovia pavimentada</t>
  </si>
  <si>
    <t>ESCAVAÇÃO MANUAL DE VALA EM MATERIAL DE 1ª CATEGORIA</t>
  </si>
  <si>
    <t>m²</t>
  </si>
  <si>
    <t>l</t>
  </si>
  <si>
    <t>FLORESTA/PE</t>
  </si>
  <si>
    <t>SERRA TALHADA/PE</t>
  </si>
  <si>
    <t>AQUISIÇÃO:</t>
  </si>
  <si>
    <t>LEGENDA:</t>
  </si>
  <si>
    <t>=</t>
  </si>
  <si>
    <t>ESTRADA PAVIMENTADA</t>
  </si>
  <si>
    <t>ESTRADA LEITO NATURAL</t>
  </si>
  <si>
    <r>
      <t>88 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</si>
  <si>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37 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</si>
  <si>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t>DETALHAMENTO DO DMT</t>
  </si>
  <si>
    <t>DMT (km)</t>
  </si>
  <si>
    <t>Empolamento</t>
  </si>
  <si>
    <t>QUANT.</t>
  </si>
  <si>
    <t>SERVIÇOS PRELIMINARES</t>
  </si>
  <si>
    <t>1.1.2</t>
  </si>
  <si>
    <t>1.1.3</t>
  </si>
  <si>
    <t>1.1.4</t>
  </si>
  <si>
    <t>REFERENCIAS  OFICIAIS</t>
  </si>
  <si>
    <t>Armação em aço CA-60 - fornecimento, preparo e colocação</t>
  </si>
  <si>
    <t>Concreto</t>
  </si>
  <si>
    <t>Concreto fck = 20 MPa - confecção em central dosadora de 30 m³/h - areia e brita comerciais</t>
  </si>
  <si>
    <t>Lançamento livre de concreto usinado por meio de caminhão betoneira - confecção em central dosadora de 30 m³/h</t>
  </si>
  <si>
    <t>Lançamento mecânico de concreto com bomba rebocável com capacidade de 30 m³/h - confecção em central dosadora de 30 m³/h</t>
  </si>
  <si>
    <t>Enchimento de junta de concreto com argamassa asfáltica de densidade 1.700 kg/m³ - espessura de 1 cm</t>
  </si>
  <si>
    <t>Lastro de areia comercial - espalhamento manual</t>
  </si>
  <si>
    <t>Guia de madeira de 2,5 x 7,0 cm - confecção e instalação</t>
  </si>
  <si>
    <t>Base estabilizada granulometricamente com mistura solo brita (70% - 30%) na pista com material de jazida e brita comercial</t>
  </si>
  <si>
    <t>Concreto asfáltico - faixa C - areia e brita comerciais</t>
  </si>
  <si>
    <t>Compactação manual com soquete vibratório</t>
  </si>
  <si>
    <t>Desmonte de material de 3ª categoria a frio com argamassa expansiva a céu aberto</t>
  </si>
  <si>
    <t>Escavação, carga e transporte de material de 1ª categoria - DMT de 1.000 a 1.200 m - caminho de serviço em leito natural - com escavadeira e caminhão basculante de 14 m³</t>
  </si>
  <si>
    <t>Transporte com caminhão betoneira - rodovia em leito natural</t>
  </si>
  <si>
    <t>Transporte com caminhão betoneira - rodovia pavimentada</t>
  </si>
  <si>
    <t>Pernambuco</t>
  </si>
  <si>
    <t>M0005</t>
  </si>
  <si>
    <t>Brita 0</t>
  </si>
  <si>
    <t>M0014</t>
  </si>
  <si>
    <t>Aço CA 60</t>
  </si>
  <si>
    <t>M0028</t>
  </si>
  <si>
    <t>Areia média</t>
  </si>
  <si>
    <t>M0075</t>
  </si>
  <si>
    <t>Arame liso recozido em aço-carbono - D = 1,24 mm (18 BWG)</t>
  </si>
  <si>
    <t>M0081</t>
  </si>
  <si>
    <t>Areia grossa</t>
  </si>
  <si>
    <t>M0104</t>
  </si>
  <si>
    <t>-</t>
  </si>
  <si>
    <t>M0290</t>
  </si>
  <si>
    <t>M0344</t>
  </si>
  <si>
    <t>Cal hidratada - a granel</t>
  </si>
  <si>
    <t>Cimento Portland CP II - 32 - saco</t>
  </si>
  <si>
    <t>M0560</t>
  </si>
  <si>
    <t>M0786</t>
  </si>
  <si>
    <t>Placa de poliestireno expandido (EPS)</t>
  </si>
  <si>
    <t>M1103</t>
  </si>
  <si>
    <t>Pedrisco</t>
  </si>
  <si>
    <t>M1205</t>
  </si>
  <si>
    <t>Prego de ferro</t>
  </si>
  <si>
    <t>M1429</t>
  </si>
  <si>
    <t>Tábua de pinho de terceira - E = 2,5 cm</t>
  </si>
  <si>
    <t>M1733</t>
  </si>
  <si>
    <t>M1941</t>
  </si>
  <si>
    <t>M1943</t>
  </si>
  <si>
    <t>M2051</t>
  </si>
  <si>
    <t>M2158</t>
  </si>
  <si>
    <t>Argamassa asfáltica</t>
  </si>
  <si>
    <t>M3504</t>
  </si>
  <si>
    <t>DESLOCAMENTO          Veloc. Média: 60 km/h</t>
  </si>
  <si>
    <t>MEIO DE LOCOMOÇÃO</t>
  </si>
  <si>
    <t>CÓDIGO TRANSPORTE</t>
  </si>
  <si>
    <t>FU</t>
  </si>
  <si>
    <t>K</t>
  </si>
  <si>
    <t>DMT                (km)</t>
  </si>
  <si>
    <t>CHP                 (R$)</t>
  </si>
  <si>
    <t>VALOR C/ BDI (R$)</t>
  </si>
  <si>
    <t>Carreta</t>
  </si>
  <si>
    <t>Rodando</t>
  </si>
  <si>
    <t>ALIMENTAÇÃO</t>
  </si>
  <si>
    <t>CUSTO UNIT.                (R$)</t>
  </si>
  <si>
    <t>Alimentação (Motorista que vai rodando)</t>
  </si>
  <si>
    <t>und</t>
  </si>
  <si>
    <t>Alimentação (Motorista que retorna)</t>
  </si>
  <si>
    <t>Convenção Coletiva de Trabalho 2019-2021 - SINDUSCON/pe (CLAUSULA 14ª)</t>
  </si>
  <si>
    <t>COFINS</t>
  </si>
  <si>
    <t>Grupo Motor Gerador com 155/170kVA cabinado  (Fornecido com Databook, contendo: ensaios de rotinas, tipo, manual de instrução, desenhos elétricos, e mecânicos)</t>
  </si>
  <si>
    <t>SERVIÇOS</t>
  </si>
  <si>
    <t>MATERIAIS</t>
  </si>
  <si>
    <t>Asfalto diluído de petróleo - CM-30</t>
  </si>
  <si>
    <t>Tábua - E = 2,5 cm e L = 10 cm</t>
  </si>
  <si>
    <t>Desmoldante para fôrmas de madeira</t>
  </si>
  <si>
    <t>Manta drenante em malha de polietileno e geotêxtil de polipropileno em uma das faces</t>
  </si>
  <si>
    <t>Óleo tipo A1</t>
  </si>
  <si>
    <t>Cimento asfáltico de petróleo - CAP 50/70</t>
  </si>
  <si>
    <t>Geotêxtil não-tecido agulhado em poliéster - resistência à tração longitudinal de 14 kN/m</t>
  </si>
  <si>
    <t>Fôrmas de tábuas de pinho para dispositivos de drenagem - utilização de 3 vezes - confecção, instalação e retirada</t>
  </si>
  <si>
    <t>DEMOLIÇÃO DE PLACAS DE CONCRETO SIMPLES COM REMOÇÃO PARA BOTA-FORA</t>
  </si>
  <si>
    <t>ESPALHAMENTO DE MATERIAL EM BOTA-FORA</t>
  </si>
  <si>
    <t>CARGA, MANOBRA E DESCARGA DE MATERIAL DEMOLIDO EM CAMINHÃO BASCULANTE DE de 6 m³ - CARGA  COM CARREGADEIRA DE 1,72 m³ E DESCARGA LIVRE</t>
  </si>
  <si>
    <t>DEMOLIÇÃO DE CONCRETO - PLACAS DE FUNDO</t>
  </si>
  <si>
    <t>DEMOLIÇÃO DE CONCRETO - PLACAS DE TALUDE</t>
  </si>
  <si>
    <t>JUNTAS DE DILATAÇÃO</t>
  </si>
  <si>
    <t>ACESSOS</t>
  </si>
  <si>
    <t>EXECUÇÃO DE ENSECADEIRA</t>
  </si>
  <si>
    <t>REMOÇÃO DE ENSECADEIRA</t>
  </si>
  <si>
    <t>CAMADAS DE ATERRO</t>
  </si>
  <si>
    <r>
      <t>m</t>
    </r>
    <r>
      <rPr>
        <i/>
        <sz val="11"/>
        <color theme="1"/>
        <rFont val="Calibri"/>
        <family val="2"/>
        <scheme val="minor"/>
      </rPr>
      <t>³</t>
    </r>
  </si>
  <si>
    <t>Peso Esp. (t/m³)</t>
  </si>
  <si>
    <t>Peso Total
(t)</t>
  </si>
  <si>
    <t>MT (tkm)</t>
  </si>
  <si>
    <r>
      <t xml:space="preserve">Volume c/
</t>
    </r>
    <r>
      <rPr>
        <sz val="8"/>
        <rFont val="Arial"/>
        <family val="2"/>
      </rPr>
      <t>Empolamento</t>
    </r>
    <r>
      <rPr>
        <sz val="10"/>
        <rFont val="Arial"/>
        <family val="2"/>
      </rPr>
      <t xml:space="preserve">
(m³)</t>
    </r>
  </si>
  <si>
    <t>COMPACTAÇÃO DE ATERROS A 100% DO PROCTOR NORMAL</t>
  </si>
  <si>
    <t>REGULARIZACAO DE SUPERFÍCIE COM MOTONIVELADORA</t>
  </si>
  <si>
    <t>ESC.CAR.TRANS. MATERIAL DRENANTE- COLCHÃO DE AREIA</t>
  </si>
  <si>
    <t>ESPALHAMENTO DE MATERIAL EM BOTA-FORA - MATERIAL ESCAVAÇÃO DE VALA</t>
  </si>
  <si>
    <t>LASTRO DE AREIA COMERCIAL - ESPALHAMENTO MANUAL</t>
  </si>
  <si>
    <t>ESPALHAMENTO DE CAMADA DRENANTE</t>
  </si>
  <si>
    <t>CONCRETAGEM DE PLACAS - TALUDE</t>
  </si>
  <si>
    <t>CONCRETAGEM DE PLACAS - FUNDO</t>
  </si>
  <si>
    <t>com transporte</t>
  </si>
  <si>
    <t>Peso Especif. (t/m³)</t>
  </si>
  <si>
    <t>CARGA, MANOBRA E DESCARGA LIVRE - DEMOLIÇÃO DE PLACAS DE FUNDO</t>
  </si>
  <si>
    <t>CARGA, MANOBRA E DESCARGA LIVRE - DEMOLIÇÃO DE PLACAS DE TALUDE</t>
  </si>
  <si>
    <t>ESPALHAMENTO EM BOTA-FORA - DEMOLIÇÃO DE PLACAS DE FUNDO</t>
  </si>
  <si>
    <t>ESPALHAMENTO EM BOTA-FORA - DEMOLIÇÃO DE PLACAS DE TALUDE</t>
  </si>
  <si>
    <t>ESC.CAR.TRANS. MATERIAL DE ATERRO ENTRE DRENOS - ATERRO</t>
  </si>
  <si>
    <t>ESC.CAR.TRANS. MATERIAL DE ATERRO ENTRE DRENOS E TALUDES - ATERRO</t>
  </si>
  <si>
    <t>ESPALHAMENTO EM BOTA-FORA - MATERIAL DRENANTE</t>
  </si>
  <si>
    <t>ESPALHAMENTO EM BOTA-FORA - MATERIAL DE ATERRO ENTRE DRENOS</t>
  </si>
  <si>
    <t>ESPALHAMENTO EM BOTA-FORA DO MATERIAL DE ATERRO ENTRE DRENOS E TALUDES</t>
  </si>
  <si>
    <t>EXECUÇÃO CAMADA DE ATERRO ENTRE DRENOS</t>
  </si>
  <si>
    <t>EXECUÇÃO CAMADA DE ATERRO ENTRE DRENOS E TALUDES</t>
  </si>
  <si>
    <t>REGULARIZAÇÃO DA CAMADA FINAL  - FUNDO DO FOREBAY</t>
  </si>
  <si>
    <t>CARGA, MANOBRA E DESCARGA LIVRE - MATERIAL ESCAVAÇÃO DE VALA</t>
  </si>
  <si>
    <t>COMP1 - SICRO 2003579</t>
  </si>
  <si>
    <t>TUBO PEAD CORRUGADO E PERFURADO - DN 300m</t>
  </si>
  <si>
    <t>Comp. Total(m)</t>
  </si>
  <si>
    <r>
      <rPr>
        <b/>
        <sz val="8"/>
        <color theme="1"/>
        <rFont val="Calibri"/>
        <family val="2"/>
        <scheme val="minor"/>
      </rPr>
      <t xml:space="preserve">Quant/Comp
</t>
    </r>
    <r>
      <rPr>
        <b/>
        <sz val="11"/>
        <color theme="1"/>
        <rFont val="Calibri"/>
        <family val="2"/>
        <scheme val="minor"/>
      </rPr>
      <t>(und/m)</t>
    </r>
  </si>
  <si>
    <t>MATERIAL DRENANTE - BRITA 2</t>
  </si>
  <si>
    <t>Manta termoplastica, PEAD, geomembrana texturizada em ambas as faces, E = 1,00 mm (NBR 15352)</t>
  </si>
  <si>
    <t>TUBO PEAD CORRUGADO E PERFURADO - DN 400m</t>
  </si>
  <si>
    <t>COMP2 - SICRO 2003579</t>
  </si>
  <si>
    <t>Manta termoplastica, PEAD, geomembrana texturizada em ambas as faces, E = 1,00 mm</t>
  </si>
  <si>
    <t>MANTA TERMOPLASTICA, PEAD, GEOMEMBRANA TEXTURIZADA EM AMBAS AS FACES, E = 1,00 mm</t>
  </si>
  <si>
    <t>APLICAÇÃO DE GEOMEMBRANA PEAD</t>
  </si>
  <si>
    <t>CONCRETO FCK = 20 MPa - CONFECÇÃO EM CENTRAL DOSADORA DE 30 m³/h - AREIA E BRITA COMERCIAIS</t>
  </si>
  <si>
    <t>LANÇAMENTO LIVRE DE CONCRETO USINADO POR MEIO DE CAMINHÃO BETONEIRA - CONFECÇÃO EM CENTRAL DOSADORA DE 30 m³/h</t>
  </si>
  <si>
    <t>LANÇAMENTO MECÂNICO DE CONCRETO COM BOMBA REBOCÁVEL COM CAPACIDADE DE 30 m³/h - CONFECÇÃO EM CENTRAL DOSADORA DE 30 m³/h</t>
  </si>
  <si>
    <t>GUIA DE MADEIRA DE 2,5 x 7,0 cm - CONFECÇÃO E INSTALAÇÃO</t>
  </si>
  <si>
    <t>GUIA DE MADEIRA - DIREÇÃO TRANSVERSAL - PLACA DE FUNDO</t>
  </si>
  <si>
    <t>GUIA DE MADEIRA - DIREÇÃO LONGITUDINAL - PLACA DE FUNDO</t>
  </si>
  <si>
    <t>GUIA DE MADEIRA - DIREÇÃO TRANSVERSAL - PLACA DE TALUDE</t>
  </si>
  <si>
    <t>JUNTA DE DILATAÇÃO - DIREÇÃO TRANSVERSAL - PLACA DE FUNDO</t>
  </si>
  <si>
    <t>JUNTA DE DILATAÇÃO - DIREÇÃO TRANSVERSAL - PLACA DE TALUDE</t>
  </si>
  <si>
    <t>JUNTA DE DILATAÇÃO EPS - CONFECÇÃO E INSTALAÇÃO</t>
  </si>
  <si>
    <t>ESTAÇÃO DE BOMBEAMENTO EBV-2</t>
  </si>
  <si>
    <r>
      <t>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</si>
  <si>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km (</t>
    </r>
    <r>
      <rPr>
        <b/>
        <sz val="11"/>
        <color theme="1"/>
        <rFont val="Calibri"/>
        <family val="2"/>
        <scheme val="minor"/>
      </rPr>
      <t>LN</t>
    </r>
    <r>
      <rPr>
        <sz val="11"/>
        <color theme="1"/>
        <rFont val="Calibri"/>
        <family val="2"/>
        <scheme val="minor"/>
      </rPr>
      <t>)</t>
    </r>
  </si>
  <si>
    <t>- CIMENTO</t>
  </si>
  <si>
    <t>- AREIA</t>
  </si>
  <si>
    <t>- BRITA</t>
  </si>
  <si>
    <t>DMT   P (km) =</t>
  </si>
  <si>
    <t>ESCAVAÇÃO, CARGA E TRANSPORTE DE MATERIAL DE 1ª CATEGORIA NA DISTÂNCIA DE 3.000 m - CAMINHO DE SERVIÇO EM LEITO NATURAL - COM ESCAVADEIRA E CAMINHÃO BASCULANTE DE 14 m³</t>
  </si>
  <si>
    <t>TRANSPORTE COM CAMINHÃO BASCULANTE DE 6 m³ - RODOVIA EM LEITO NATURAL</t>
  </si>
  <si>
    <t>COMP5</t>
  </si>
  <si>
    <t>COMP6</t>
  </si>
  <si>
    <t>DMT (Obra -Recife)</t>
  </si>
  <si>
    <t>DEMOLIÇÃO</t>
  </si>
  <si>
    <t>E9506 - Caminhão basculante com capacidade de 6 m³ - 136 kW</t>
  </si>
  <si>
    <t>E9584 - Carregadeira de pneus com capacidade de 1,72 m³ - 113 kW</t>
  </si>
  <si>
    <t>E9540 - Trator sobre esteiras com lâmina - 127 kW</t>
  </si>
  <si>
    <t>E9667 - Caminhão basculante com capacidade de 14 m³ - 188 kW</t>
  </si>
  <si>
    <t>E9515 - Escavadeira hidráulica sobre esteiras com caçamba com capacidade de 1,56 m³ - 118 kW</t>
  </si>
  <si>
    <t>E9571 - Caminhão tanque com capacidade de 10.000 l - 188 kW</t>
  </si>
  <si>
    <t>E9518 - Grade de 24 discos rebocável de D = 60 cm (24”)</t>
  </si>
  <si>
    <t>E9524 - Motoniveladora - 93 kW</t>
  </si>
  <si>
    <t>E9685 - Rolo compactador pé de carneiro vibratório autopropelido por pneus de 11,6 t - 82 kW</t>
  </si>
  <si>
    <t>E9577 - Trator agrícola sobre pneus - 77 kW</t>
  </si>
  <si>
    <t>DEMOLIÇÃO (BOTA-FORA)</t>
  </si>
  <si>
    <t>ESCAVAÇÃO</t>
  </si>
  <si>
    <t>ATERRO</t>
  </si>
  <si>
    <t>TOTAL ACUMULADO</t>
  </si>
  <si>
    <t>Período</t>
  </si>
  <si>
    <t>DISCRIMINAÇÃO DOS SERVIÇOS</t>
  </si>
  <si>
    <t>CRONOGRAMA FÍSICO-FINANCEIRO</t>
  </si>
  <si>
    <t>1ª MÊS</t>
  </si>
  <si>
    <t>2ª MÊS</t>
  </si>
  <si>
    <t>3ª MÊS</t>
  </si>
  <si>
    <t>Tubo PEAD corrugado perfurado para drenagem - D = 300 mm</t>
  </si>
  <si>
    <t>Tubo PEAD corrugado perfurado para drenagem - D = 400 mm</t>
  </si>
  <si>
    <t>COT1</t>
  </si>
  <si>
    <t>COT2</t>
  </si>
  <si>
    <t>COTAÇÃO</t>
  </si>
  <si>
    <t xml:space="preserve">T O T A L   G E R A L </t>
  </si>
  <si>
    <t>DRENO SUBSUPERFICIAL EM SOLO  - TUBO PEAD DN300 E BRITA COMERCIAL</t>
  </si>
  <si>
    <t>DRENO SUBSUPERFICIAL EM SOLO  - TUBO PEAD DN400 E BRITA COMERCIAL</t>
  </si>
  <si>
    <t>SERVIÇO</t>
  </si>
  <si>
    <t>MATERIAL</t>
  </si>
  <si>
    <t>ORIGEM</t>
  </si>
  <si>
    <t>DESTINO</t>
  </si>
  <si>
    <t>Forebay</t>
  </si>
  <si>
    <t>Bota-fora</t>
  </si>
  <si>
    <t>CÓDIGO SERVIÇO</t>
  </si>
  <si>
    <t>CÓDIGO MATERIAL</t>
  </si>
  <si>
    <t>PESO TOTAL
(t)</t>
  </si>
  <si>
    <t>DMT
(km)</t>
  </si>
  <si>
    <t>MT
(tkm)</t>
  </si>
  <si>
    <t>TRANSPORTE COM CAMINHÃO BASCULANTE DE 6 M³ - RODOVIA EM LEITO NATURAL</t>
  </si>
  <si>
    <t>tkm.</t>
  </si>
  <si>
    <t>Serra Talhada</t>
  </si>
  <si>
    <t>Floresta</t>
  </si>
  <si>
    <t>TRANSPORTE COM CAMINHÃO CARROCERIA DE 15 T - RODOVIA EM LEITO NATURAL</t>
  </si>
  <si>
    <t>TRANSPORTE COM CAMINHÃO BASCULANTE DE 10 M³ - RODOVIA PAVIMENTADA</t>
  </si>
  <si>
    <t>TRANSPORTE COM CAMINHÃO CARROCERIA DE 15 T - RODOVIA PAVIMENTADA</t>
  </si>
  <si>
    <t>QUADRO MOMENTO DE TRANSPORTE</t>
  </si>
  <si>
    <t>PESO
(t/und)</t>
  </si>
  <si>
    <t>BR</t>
  </si>
  <si>
    <t>TRANSPORTE COM CAMINHÃO BASCULANTE DE 10 M³ - RODOVIA EM LEITO NATURAL</t>
  </si>
  <si>
    <t>TRANSPORTE COM CAMINHÃO BETONEIRA - RODOVIA EM LEITO NATURAL</t>
  </si>
  <si>
    <t>TRANSPORTE COM CAMINHÃO BETONEIRA - RODOVIA PAVIMENTADA</t>
  </si>
  <si>
    <t>TÉCNICO EM SEGURANÇA DO TRABALHO</t>
  </si>
  <si>
    <t>AUXILIAR DE TOPÓGRAFO</t>
  </si>
  <si>
    <t>TÉCNICO DE LABORATÓRIO</t>
  </si>
  <si>
    <t>CONTEINER/(LABORATÓRIO DE SOLO/ASFALDO)</t>
  </si>
  <si>
    <t>CANTEIRO DE OBRA (LABORATÓRIO DE SOLO/ASFALDO)</t>
  </si>
  <si>
    <t>LOCACAO DE CONTAINER PARA LABORATÓRIO DE SOLO/ASFALTO</t>
  </si>
  <si>
    <t>COMP7</t>
  </si>
  <si>
    <t>RECUPERAÇÃO DAS ANOMALIAS DA EBV-2</t>
  </si>
  <si>
    <t>Volume Total(m³)</t>
  </si>
  <si>
    <t>ESC.CAR.TRANS. DE MATERIAL DE JAZIDA PARA RECOMPOR A SUB-BASE</t>
  </si>
  <si>
    <t>EXECUÇÃO DE SUB-BASE</t>
  </si>
  <si>
    <t>EXECUÇÃO DE BASE</t>
  </si>
  <si>
    <t>IMPRIMAÇÃO</t>
  </si>
  <si>
    <t>CBUQ - EXECUÇÃO</t>
  </si>
  <si>
    <t>CBUQ - USINAGEM</t>
  </si>
  <si>
    <t>MEIO-FIO DE CONCRETO - MFC 03</t>
  </si>
  <si>
    <t>BASE ESTABILIZADA GRANULOMETRICAMENTE COM MISTURA SOLO BRITA (70% - 30%) NA PISTA COM MATERIAL DE JAZIDA E BRITA COMERCIAL</t>
  </si>
  <si>
    <t>Material de Jazida</t>
  </si>
  <si>
    <t>USINAGEM DE CONCRETO ASFÁLTICO - FAIXA C - AREIA E BRITA COMERCIAIS</t>
  </si>
  <si>
    <t xml:space="preserve"> CAMADA DE SUB-BASE</t>
  </si>
  <si>
    <t>SUB-BASE ESTABILIZADA GRANULOMETRICAMENTE COM MISTURA DE SOLOS NA PISTA COM MATERIAL DE JAZIDA</t>
  </si>
  <si>
    <t>CAMADA DE BASE</t>
  </si>
  <si>
    <t>CARGA, MANOBRA E DESCARGA DE AGREGADOS OU SOLOS EM CAMINHÃO BASCULANTE DE 14 m³ - CARGA COM CARREGADEIRA DE 3,40 m³ E DESCARGA LIVRE</t>
  </si>
  <si>
    <t>IMPRIMAÇÃO COM ASFALTO DILUÍDO</t>
  </si>
  <si>
    <t>com acrescimo de 18% ICMS</t>
  </si>
  <si>
    <t>CONCRETO ASFÁLTICO - FAIXA C - AREIA E BRITA COMERCIAIS</t>
  </si>
  <si>
    <t>TRANSPORTE ASFALTO DILUIDO CM-30 - RODOVIA PAVIMENTADA</t>
  </si>
  <si>
    <t>Portaria nº 1977 de 25/10/2017 - DMT =778,4 km (Serra Talhada/PE -Percem/CE</t>
  </si>
  <si>
    <t>TRANSPORTE CIMENTO ASFALTO DE PETROLEO - CAP 50/70 RODOVIA PAVIMENTADA</t>
  </si>
  <si>
    <t>CONCRETO FCK = 20 MPA - CONFECÇÃO EM BETONEIRA E LANÇAMENTO MANUAL - AREIA E BRITA COMERCIAIS</t>
  </si>
  <si>
    <t>ENCHIMENTO DE JUNTA DE CONCRETO COM ARGAMASSA ASFÁLTICA DE DENSIDADE 1.700 KG/M³ - ESPESSURA DE 1 CM</t>
  </si>
  <si>
    <t>ESCAVAÇÃO MANUAL EM MATERIAL DE 1ª CATEGORIA NA PROFUNDIDADE DE ATÉ 1 M</t>
  </si>
  <si>
    <t>FÔRMAS DE TÁBUAS DE PINHO PARA DISPOSITIVOS DE DRENAGEM - UTILIZAÇÃO DE 3 VEZES - CONFECÇÃO, INSTALAÇÃO E RETIRADA</t>
  </si>
  <si>
    <t>APILOAMENTO MANUAL</t>
  </si>
  <si>
    <t>ASFALTOS DILUÍDOS CM-30</t>
  </si>
  <si>
    <t>Ceará</t>
  </si>
  <si>
    <t>Minas Gerais</t>
  </si>
  <si>
    <t>Rio de Janeiro</t>
  </si>
  <si>
    <t>Rio Grande do Norte</t>
  </si>
  <si>
    <t>CIMENTOS ASFÁLTICOS CAP-50-70</t>
  </si>
  <si>
    <t>R$/t</t>
  </si>
  <si>
    <t>ICMS</t>
  </si>
  <si>
    <t>642 km (P)</t>
  </si>
  <si>
    <t>FORTALEZA/CE</t>
  </si>
  <si>
    <t xml:space="preserve">DMT LN (km) = </t>
  </si>
  <si>
    <t>OBSERVAÇÕES</t>
  </si>
  <si>
    <t>5.1</t>
  </si>
  <si>
    <t>5.2</t>
  </si>
  <si>
    <t>5.3</t>
  </si>
  <si>
    <t>5.4</t>
  </si>
  <si>
    <t>5.5</t>
  </si>
  <si>
    <t>6.1</t>
  </si>
  <si>
    <t>6.2</t>
  </si>
  <si>
    <t>6.3</t>
  </si>
  <si>
    <t>7.1</t>
  </si>
  <si>
    <t>7.2</t>
  </si>
  <si>
    <t>7.3</t>
  </si>
  <si>
    <t>PAVIMENTAÇÃO DA BERMA DE O&amp;M DO FOREBAY</t>
  </si>
  <si>
    <t>IMPERMEABILIZAÇÃO DA BERMA DE O&amp;M DO FOREBAY</t>
  </si>
  <si>
    <t>4.1</t>
  </si>
  <si>
    <t>1.1.5</t>
  </si>
  <si>
    <t>1.1.6</t>
  </si>
  <si>
    <t>4.2</t>
  </si>
  <si>
    <t>4.3</t>
  </si>
  <si>
    <t>4.4</t>
  </si>
  <si>
    <t>4.5</t>
  </si>
  <si>
    <t>4.6</t>
  </si>
  <si>
    <t>4.7</t>
  </si>
  <si>
    <t>4.8</t>
  </si>
  <si>
    <t>4.9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</si>
  <si>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</si>
  <si>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</si>
  <si>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</si>
  <si>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</si>
  <si>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</si>
  <si>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</si>
  <si>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</si>
  <si>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</si>
  <si>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</si>
  <si>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</si>
  <si>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</si>
  <si>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</si>
  <si>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</si>
  <si>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</si>
  <si>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</si>
  <si>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</si>
  <si>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</si>
  <si>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</si>
  <si>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</si>
  <si>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</si>
  <si>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</si>
  <si>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5.3.6.1</t>
  </si>
  <si>
    <t>5.3.6.2</t>
  </si>
  <si>
    <t>5.3.6.3</t>
  </si>
  <si>
    <t>5.3.7.1</t>
  </si>
  <si>
    <t>5.3.7.2</t>
  </si>
  <si>
    <t>5.3.7.3</t>
  </si>
  <si>
    <t>5.3.8.1</t>
  </si>
  <si>
    <t>5.4.1</t>
  </si>
  <si>
    <t>5.4.1.1</t>
  </si>
  <si>
    <t>5.4.2</t>
  </si>
  <si>
    <t>5.4.2.1</t>
  </si>
  <si>
    <t>5.4.2.2</t>
  </si>
  <si>
    <t>5.4.2.3</t>
  </si>
  <si>
    <t>5.4.2.4</t>
  </si>
  <si>
    <t>5.4.2.5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</si>
  <si>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</si>
  <si>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</si>
  <si>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</si>
  <si>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</si>
  <si>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</si>
  <si>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</si>
  <si>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</si>
  <si>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</si>
  <si>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</si>
  <si>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5.4.12</t>
  </si>
  <si>
    <t>5.5.1</t>
  </si>
  <si>
    <t>6.1.1</t>
  </si>
  <si>
    <t>6.1.2</t>
  </si>
  <si>
    <t>6.2.1</t>
  </si>
  <si>
    <t>6.2.2</t>
  </si>
  <si>
    <t>6.2.3</t>
  </si>
  <si>
    <t>6.2.4</t>
  </si>
  <si>
    <t>6.3.1</t>
  </si>
  <si>
    <t>6.3.1.1</t>
  </si>
  <si>
    <t>6.3.2</t>
  </si>
  <si>
    <t>6.3.3</t>
  </si>
  <si>
    <t>6.3.3.1</t>
  </si>
  <si>
    <t>6.3.3.2</t>
  </si>
  <si>
    <t>6.3.3.3</t>
  </si>
  <si>
    <t>6.3.3.4</t>
  </si>
  <si>
    <t>6.3.3.5</t>
  </si>
  <si>
    <t>6.3.3.6</t>
  </si>
  <si>
    <t>6.3.3.7</t>
  </si>
  <si>
    <t>6.3.4</t>
  </si>
  <si>
    <t>6.3.5</t>
  </si>
  <si>
    <t>6.3.6</t>
  </si>
  <si>
    <t>6.3.7</t>
  </si>
  <si>
    <t>7.1.1</t>
  </si>
  <si>
    <t>7.1.1.1</t>
  </si>
  <si>
    <t>7.1.1.2</t>
  </si>
  <si>
    <t>7.1.1.3</t>
  </si>
  <si>
    <t>7.1.1.4</t>
  </si>
  <si>
    <t>7.1.1.5</t>
  </si>
  <si>
    <t>7.1.2</t>
  </si>
  <si>
    <t>7.1.2.1</t>
  </si>
  <si>
    <t>7.1.3</t>
  </si>
  <si>
    <t>7.1.4</t>
  </si>
  <si>
    <t>7.1.4.1</t>
  </si>
  <si>
    <t>7.1.4.2</t>
  </si>
  <si>
    <t>7.1.4.3</t>
  </si>
  <si>
    <t>7.1.4.4</t>
  </si>
  <si>
    <t>7.1.5</t>
  </si>
  <si>
    <t>7.1.6</t>
  </si>
  <si>
    <t>7.1.7</t>
  </si>
  <si>
    <t>7.1.8</t>
  </si>
  <si>
    <t>7.2.1</t>
  </si>
  <si>
    <t>7.2.2</t>
  </si>
  <si>
    <t>7.2.3</t>
  </si>
  <si>
    <t>7.2.2.1</t>
  </si>
  <si>
    <t>7.2.2.2</t>
  </si>
  <si>
    <t>7.2.3.1</t>
  </si>
  <si>
    <t>7.2.4</t>
  </si>
  <si>
    <t>7.2.5</t>
  </si>
  <si>
    <t>7.2.6</t>
  </si>
  <si>
    <t>7.2.7</t>
  </si>
  <si>
    <t>7.2.8</t>
  </si>
  <si>
    <t>7.2.9</t>
  </si>
  <si>
    <t>7.3.1</t>
  </si>
  <si>
    <t>7.3.1.1</t>
  </si>
  <si>
    <t>7.3.1.2</t>
  </si>
  <si>
    <t>7.3.1.3</t>
  </si>
  <si>
    <t>7.3.1.4</t>
  </si>
  <si>
    <t>7.3.1.5</t>
  </si>
  <si>
    <t>7.3.2</t>
  </si>
  <si>
    <t>7.3.3</t>
  </si>
  <si>
    <t>7.3.4</t>
  </si>
  <si>
    <t>7.3.5</t>
  </si>
  <si>
    <t>7.3.6</t>
  </si>
  <si>
    <t>4ª MÊS</t>
  </si>
  <si>
    <t>5ª MÊS</t>
  </si>
  <si>
    <t>6ª MÊS</t>
  </si>
  <si>
    <t>IMPERMEABILIZAÇÃO DO FOREBAY</t>
  </si>
  <si>
    <t>8.1</t>
  </si>
  <si>
    <t>SERVIÇOS DE IMPERMEABILIZAÇÃO COM POLIÚREIA</t>
  </si>
  <si>
    <t>8.1.1</t>
  </si>
  <si>
    <t>APLICAÇÃO DE POLIUREIA EM ESTUTURA DE CONCRETO - FORNECIMENTO, TRATAMENTO DA SUPERFICIE E APLICAÇÃO</t>
  </si>
  <si>
    <t>COT3</t>
  </si>
  <si>
    <t>CAD</t>
  </si>
  <si>
    <t>APLICAÇÃO DE POLIUREIA NO FOREBAY DE MONTANTE DA EBV2</t>
  </si>
  <si>
    <t>POLIÚREIA (SERVIÇO E MATERIAIS)</t>
  </si>
  <si>
    <t>ESC.CAR.TRANS. MATERIAL CAMADA DE ATERRO ENTRE DRENOS E TALUDES - MATERIAL OURIUNDO DA JAZIDA</t>
  </si>
  <si>
    <r>
      <t xml:space="preserve">ESCAVAÇÃO DE VALA  - ATERRO - (DRENO </t>
    </r>
    <r>
      <rPr>
        <sz val="11"/>
        <rFont val="Calibri"/>
        <family val="2"/>
      </rPr>
      <t>Ø</t>
    </r>
    <r>
      <rPr>
        <sz val="10"/>
        <rFont val="Arial"/>
        <family val="2"/>
      </rPr>
      <t>300MM)</t>
    </r>
  </si>
  <si>
    <t>DRENAGEM SUBSUPERFICIAL</t>
  </si>
  <si>
    <t>ESCAVAÇÃO DE VALA - ATERRO - (DRENO Ø400MM)</t>
  </si>
  <si>
    <t>DRENO SUBSUPERFICIAL EM SOLO  - TUBO PEAD DN300, MANTA PEAD E BRITA COMERCIAL</t>
  </si>
  <si>
    <t>DRENO SUBSUPERFICIAL EM SOLO  - TUBO PEAD DN400, MANTA PEAD E BRITA COMERCIAL</t>
  </si>
  <si>
    <t>REVESTIMENTO DA BACIA DO FOREBAY</t>
  </si>
  <si>
    <t>SISTEMA DE DRENAGEM SUBSUPERFICIAL DA BACIA DO FOREBAY</t>
  </si>
  <si>
    <t>CAR.TRANS. DE MATERIAL BOTA-ESPERA PARA CAMADA DE BASE</t>
  </si>
  <si>
    <t>ESC.CAR.TRANS. DE MATERIAL DA CAMADA DE ATERRO PARA O BOTA-FORA</t>
  </si>
  <si>
    <r>
      <t>ESC.CAR.TRANS. DE MATERIAL DA CAMADA DE ATERRO PARA O BOTA-ESPERA (</t>
    </r>
    <r>
      <rPr>
        <i/>
        <sz val="8"/>
        <rFont val="Arial"/>
        <family val="2"/>
      </rPr>
      <t>EXECUÇÃO DE BASE</t>
    </r>
    <r>
      <rPr>
        <sz val="10"/>
        <rFont val="Arial"/>
        <family val="2"/>
      </rPr>
      <t>)</t>
    </r>
  </si>
  <si>
    <t>6.2.2.1</t>
  </si>
  <si>
    <t xml:space="preserve">        </t>
  </si>
  <si>
    <t>Comp. Total (m)</t>
  </si>
  <si>
    <t>Quant. Total (und)</t>
  </si>
  <si>
    <t>ENTRADA DESCIDA DÁGUA - EDA 02</t>
  </si>
  <si>
    <t>ENTRADA PARA DESCIDA DÁGUA - EDA 02 
- AREIA E BRITA  COMERCIAL</t>
  </si>
  <si>
    <t>MEIO-FIO DE CONCRETO - MFC 03 
- AREIA E BRITA  COMERCIAL</t>
  </si>
  <si>
    <t>DESCIDA DÁGUA DE ATERRO EM DEGRAUS - DAD 02 
- AREIA E BRITA  COMERCIAL</t>
  </si>
  <si>
    <t>ARMAÇÃO EM AÇO CA-60 - FORNECIMENTO, PREPARO E COLOCAÇÃO</t>
  </si>
  <si>
    <t>7.2.3.2</t>
  </si>
  <si>
    <t>7.2.3.3</t>
  </si>
  <si>
    <t>7.2.3.4</t>
  </si>
  <si>
    <t>7.2.3.5</t>
  </si>
  <si>
    <t>7.2.4.1</t>
  </si>
  <si>
    <t>7.2.6.1</t>
  </si>
  <si>
    <t>7.2.6.2</t>
  </si>
  <si>
    <t>7.2.6.3</t>
  </si>
  <si>
    <t>7.2.6.4</t>
  </si>
  <si>
    <t>7.2.10</t>
  </si>
  <si>
    <t>DESCIDA DÁGUA - DAD 02</t>
  </si>
  <si>
    <t>TRANSPORTE DE MATERIAL EM BOTA-FORA - MATERIAL ESCAVAÇÃO DE VALA</t>
  </si>
  <si>
    <t>ESCAVAÇÃO DE VALA - ATERRO DE O&amp;M - (DRENO Ø400MM)</t>
  </si>
  <si>
    <t>DRENO SUBSUPERFICIAL EM SOLO - TRANSVERSAL - TUBO PEAD DN300, MANTA PEAD E BRITA COMERCIAL</t>
  </si>
  <si>
    <r>
      <t xml:space="preserve">ESCAVAÇÃO DE VALA  - ATERRO - (DRENO </t>
    </r>
    <r>
      <rPr>
        <sz val="11"/>
        <rFont val="Calibri"/>
        <family val="2"/>
      </rPr>
      <t>Ø</t>
    </r>
    <r>
      <rPr>
        <sz val="10"/>
        <rFont val="Arial"/>
        <family val="2"/>
      </rPr>
      <t>300MM) - TRANSVERSAL</t>
    </r>
  </si>
  <si>
    <t>COMP3 - SICRO 2003579</t>
  </si>
  <si>
    <t>5.3.5.1</t>
  </si>
  <si>
    <t>5.3.5.2</t>
  </si>
  <si>
    <t>5.3.5.3</t>
  </si>
  <si>
    <t>5.3.7.4</t>
  </si>
  <si>
    <t>MANTA BIDIM</t>
  </si>
  <si>
    <t>MANTA PEAD</t>
  </si>
  <si>
    <t>DESCIDA DÁGUA - DAD 02 - DRENAGEM TRANSVERSAL</t>
  </si>
  <si>
    <t>DESCIDA DÁGUA - DAD 02 - DRENAGEM SUBSUPERFICIAL</t>
  </si>
  <si>
    <t>DRENAGEM DE BERMA DE O&amp;M E DRENAGEM EXTERNA</t>
  </si>
  <si>
    <t>COMP5 - SICRO 2003343</t>
  </si>
  <si>
    <t>7.4</t>
  </si>
  <si>
    <t>7.4.1</t>
  </si>
  <si>
    <t>7.4.2</t>
  </si>
  <si>
    <t>7.4.2.1</t>
  </si>
  <si>
    <t>7.4.2.2</t>
  </si>
  <si>
    <t>7.4.3</t>
  </si>
  <si>
    <t>7.4.3.1</t>
  </si>
  <si>
    <t>7.4.4</t>
  </si>
  <si>
    <t>7.4.6</t>
  </si>
  <si>
    <t>7.4.7</t>
  </si>
  <si>
    <t>7.4.8</t>
  </si>
  <si>
    <t>7.4.9</t>
  </si>
  <si>
    <t>CANALETA DE DRENAGEM TRAPEZOIDAL (40x50)</t>
  </si>
  <si>
    <t>7.4.2.3</t>
  </si>
  <si>
    <t>7.4.2.4</t>
  </si>
  <si>
    <t>7.4.2.5</t>
  </si>
  <si>
    <t>6.4</t>
  </si>
  <si>
    <t>6.4.1</t>
  </si>
  <si>
    <t>6.4.2</t>
  </si>
  <si>
    <t>DEMOLIÇÃO DE BLOCOS DE CONCRETO</t>
  </si>
  <si>
    <t>CANALETA TRAPEZOIDAL DE CONCRETO (40x50) - AREIA E BRITA  COMERCIAL</t>
  </si>
  <si>
    <t>6.4.3</t>
  </si>
  <si>
    <t>REATERRO COMPACTADO</t>
  </si>
  <si>
    <t>6.4.4</t>
  </si>
  <si>
    <t>EXPURGO DE JAZIDA</t>
  </si>
  <si>
    <t>ESCAVAÇÃO DE VALA - ATERRO DE O&amp;M - (DRENO Ø300MM) - TRANSVERSAL</t>
  </si>
  <si>
    <t>COMP4 - SICRO 4011536</t>
  </si>
  <si>
    <t>COMP5 - SICRO 3108018</t>
  </si>
  <si>
    <t>REFINARIAS</t>
  </si>
  <si>
    <t>ENDEREÇO</t>
  </si>
  <si>
    <t>ESTADO</t>
  </si>
  <si>
    <t>CIDADE</t>
  </si>
  <si>
    <t>REGIÃO</t>
  </si>
  <si>
    <t>KM</t>
  </si>
  <si>
    <t xml:space="preserve">CUSTO </t>
  </si>
  <si>
    <t>Refinaria Abreu e Lima</t>
  </si>
  <si>
    <t>Rodovia PE 60, Km 10 - Ipojuca - PE CEP:55590-000</t>
  </si>
  <si>
    <t>IPOJUCA - PE</t>
  </si>
  <si>
    <t>EBV 2 - PE</t>
  </si>
  <si>
    <t>LOCALIDADES</t>
  </si>
  <si>
    <t>CUSTO ANP (R$/Kg)</t>
  </si>
  <si>
    <t>CUSTO ANP</t>
  </si>
  <si>
    <t>IMPOSTOS DO PRODUTO</t>
  </si>
  <si>
    <t>CUSTO DO PRODUTO COM IMPOSTOS</t>
  </si>
  <si>
    <t>DMT's</t>
  </si>
  <si>
    <t>DMT LEITO NATURAL</t>
  </si>
  <si>
    <t>CUSTO DO TRANSPORTE RODOVIA PAVIMENTADA</t>
  </si>
  <si>
    <t>CUSTO DO TRANSPORTE LEITO NATURAL</t>
  </si>
  <si>
    <t>CUSTO DO TRANSPORTE TOTAL</t>
  </si>
  <si>
    <t>ATUALIZAÇÃO DO CUSTO DE TRANSPORTE</t>
  </si>
  <si>
    <t>CUSTO DO TRANSPORTE TOTAL COM IMPOSTOS E ATUALIZAÇÃO MONETÁRIA</t>
  </si>
  <si>
    <t xml:space="preserve">PEDÁGIO </t>
  </si>
  <si>
    <t>TOTAL TRANSPORTE</t>
  </si>
  <si>
    <t>AQUISIÇÃO DO PRODUTO</t>
  </si>
  <si>
    <t>TOTAL GERAL ( TRANSP + AQUISIÇÃO)</t>
  </si>
  <si>
    <t>Refinaria Potiguar Clara Camarão</t>
  </si>
  <si>
    <t>Rodovia RN 221, KM 25 - Guamaré - RN CEP:59598-000</t>
  </si>
  <si>
    <t>GUAMARÉ - RN</t>
  </si>
  <si>
    <t>Refinaria Lubrificantes e Derivados do Nordeste (Lubnor)</t>
  </si>
  <si>
    <t>Av. Leite Barbosa, s/nº - Mucuripe Fortaleza - Ceará CEP:60180-420</t>
  </si>
  <si>
    <t>FORTALEZA - CE</t>
  </si>
  <si>
    <t>DISTRIBUIDORA BRASILEIRA DE ASFALTO SA - DISBRAL</t>
  </si>
  <si>
    <t>SÃO JUDAS TADEU, 288  - DISTRITO INDUSTRIAL - CEP:32450-000</t>
  </si>
  <si>
    <t>SARZEDO - MG</t>
  </si>
  <si>
    <t>UBERLANDIA - MG</t>
  </si>
  <si>
    <t>STRATURA ASFALTOS S/A</t>
  </si>
  <si>
    <t>RUA LUIS DE CAMÕES, 26  - CAMPOS ELÍSEOS - CEP:25225-030</t>
  </si>
  <si>
    <t>DUQUE DE CAXIAS - RJ</t>
  </si>
  <si>
    <t>RUA VICTOR RODRIGUES RESENDE, 333  - DISTRITO IND. DE UBERLÂNDIA - CEP:38405-440</t>
  </si>
  <si>
    <t>REAJUSTE</t>
  </si>
  <si>
    <t>TIPOLOGIA DO MATERIAL</t>
  </si>
  <si>
    <t>IMPOSTOS</t>
  </si>
  <si>
    <t>ÍNDICE DE PAVIMENTAÇÃO DNIT</t>
  </si>
  <si>
    <t>ÍNDICE INICIAL</t>
  </si>
  <si>
    <t>LEGENDA</t>
  </si>
  <si>
    <t>ÍNDICE FINAL</t>
  </si>
  <si>
    <t xml:space="preserve"> ICMS</t>
  </si>
  <si>
    <t>ENTRADA DE DADOS</t>
  </si>
  <si>
    <t>toneladas de CM 30</t>
  </si>
  <si>
    <t>ANP</t>
  </si>
  <si>
    <t>CPU 1</t>
  </si>
  <si>
    <t>CPU 2</t>
  </si>
  <si>
    <t>Escavação até 1 m de profundidade até os Blocos</t>
  </si>
  <si>
    <t>Blocos</t>
  </si>
  <si>
    <t>Comprimento(m)</t>
  </si>
  <si>
    <t>Volume(m3)</t>
  </si>
  <si>
    <t>Volume de aterro a ser reaproveitado (m³)</t>
  </si>
  <si>
    <t xml:space="preserve">Volume de material a ser transportado para bota espera considerando empolamento de: </t>
  </si>
  <si>
    <t xml:space="preserve">Distância de Bota Espera </t>
  </si>
  <si>
    <t xml:space="preserve">Volume dos Blocos de concreto </t>
  </si>
  <si>
    <t>Volume total blocos de concreto (m³)</t>
  </si>
  <si>
    <t>Área blocos de concreto (m²)</t>
  </si>
  <si>
    <t xml:space="preserve">Transporte do material dos blocos de concreto </t>
  </si>
  <si>
    <t>Peso Específico (t/m³)</t>
  </si>
  <si>
    <t xml:space="preserve">Volume (m³) </t>
  </si>
  <si>
    <t>PESO TOTAL (t)</t>
  </si>
  <si>
    <t xml:space="preserve">Distância para transporte dos blocos (DMT) - aterro licenciado  </t>
  </si>
  <si>
    <t xml:space="preserve">Momento de transporte </t>
  </si>
  <si>
    <t>t.km</t>
  </si>
  <si>
    <t xml:space="preserve">Transporte do material de bota espera para reaproveitamento no reaterro </t>
  </si>
  <si>
    <t xml:space="preserve">Volume de material a ser transportado do bota espera para reaproveitamento no reaterro, considerando empolamento de: </t>
  </si>
  <si>
    <t>Massa específica solta (t/m³)</t>
  </si>
  <si>
    <t xml:space="preserve">Distância de Bota Espera (km) </t>
  </si>
  <si>
    <t>Transporte de Brita 1  para execução de solo brita (70% - 30%)</t>
  </si>
  <si>
    <r>
      <t xml:space="preserve">VOLUME TOTAL (m³) - </t>
    </r>
    <r>
      <rPr>
        <b/>
        <sz val="11"/>
        <color theme="1"/>
        <rFont val="Times New Roman"/>
        <family val="1"/>
      </rPr>
      <t>100%</t>
    </r>
    <r>
      <rPr>
        <sz val="11"/>
        <color theme="1"/>
        <rFont val="Times New Roman"/>
        <family val="1"/>
      </rPr>
      <t xml:space="preserve"> = </t>
    </r>
  </si>
  <si>
    <t>+</t>
  </si>
  <si>
    <t>SOLO</t>
  </si>
  <si>
    <t xml:space="preserve">BRITA </t>
  </si>
  <si>
    <t>Volume de Brita1 para execução de solo brita (70% - 30%)</t>
  </si>
  <si>
    <t xml:space="preserve">Distância (km) </t>
  </si>
  <si>
    <t>Transporte de SOLO  para execução de reaterro: solo brita (70% - 30%)</t>
  </si>
  <si>
    <t>Material Reaproveitado (m³)</t>
  </si>
  <si>
    <t xml:space="preserve">Volume Necessário (m³) </t>
  </si>
  <si>
    <t>Volume de SOLO para execução de solo brita (70% - 30%)</t>
  </si>
  <si>
    <t xml:space="preserve">Volume de SOLO a ser transportado da jazida para reaterro, considerando empolamento de: </t>
  </si>
  <si>
    <t xml:space="preserve">Volume de aterro compactado (m³) </t>
  </si>
  <si>
    <t xml:space="preserve">Memória de cálculo - remoção de blocos </t>
  </si>
  <si>
    <t xml:space="preserve">memória de cálculo - Remoção de blocos </t>
  </si>
  <si>
    <t>Carga, manobra e descarga de blocos</t>
  </si>
  <si>
    <t xml:space="preserve">Transporte com caminhão basculante de 14 m³ - rodovia em leito natural (material de bota espera para reaproveitamento) </t>
  </si>
  <si>
    <t xml:space="preserve">Transporte com caminhão basculante de 10 m³ - rodovia em leito natural (brita 1 para execução no reaterro) </t>
  </si>
  <si>
    <t xml:space="preserve">Transporte com caminhão basculante de 10 m³ - rodovia em leito natural  (solo para execução no reaterro) </t>
  </si>
  <si>
    <t>Execução de aterro com mistura solo brita (70% - 30%) com material de jazida e brita comercial</t>
  </si>
  <si>
    <t>6.4.5</t>
  </si>
  <si>
    <t>6.4.6</t>
  </si>
  <si>
    <t>6.4.7</t>
  </si>
  <si>
    <t>6.4.8</t>
  </si>
  <si>
    <t>6.4.9</t>
  </si>
  <si>
    <t xml:space="preserve">Transporte com caminhão basculante de 14 m³ - rodovia em leito natural (Blocos de concreto) </t>
  </si>
  <si>
    <t>N1</t>
  </si>
  <si>
    <t>N2</t>
  </si>
  <si>
    <t>N3</t>
  </si>
  <si>
    <t>PAVIM.</t>
  </si>
  <si>
    <t xml:space="preserve">LEITO N. </t>
  </si>
  <si>
    <t>Momento de transporte (PAVIM.)</t>
  </si>
  <si>
    <t>Momento de transporte (LEITO N.)</t>
  </si>
  <si>
    <t>6.4.10</t>
  </si>
  <si>
    <t xml:space="preserve">Transporte com caminhão basculante de 10 m³ - rodovia pavimentada (brita 1 para execução no reaterro) </t>
  </si>
  <si>
    <t>Demolição manual de concreto simples</t>
  </si>
  <si>
    <t>Jul/2022 - Jun/2023</t>
  </si>
  <si>
    <t>PE_06/2023_Não Desonerado</t>
  </si>
  <si>
    <t>PE_04/2023_Sem Desoneração</t>
  </si>
  <si>
    <t>ANEXO III</t>
  </si>
  <si>
    <t>Orçamento de Referência e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</si>
</sst>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7" formatCode="&quot;R$&quot;\ #,##0.00;\-&quot;R$&quot;\ #,##0.00"/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[$€-2]\ #,##0.00_);[Red]\([$€-2]\ #,##0.00\)"/>
    <numFmt numFmtId="166" formatCode="&quot;R$ &quot;#,##0_);\(&quot;R$ &quot;#,##0\)"/>
    <numFmt numFmtId="167" formatCode="&quot;R$ &quot;#,##0_);[Red]\(&quot;R$ &quot;#,##0\)"/>
    <numFmt numFmtId="168" formatCode="&quot;R$ &quot;#,##0.00_);[Red]\(&quot;R$ &quot;#,##0.00\)"/>
    <numFmt numFmtId="169" formatCode="_(&quot;R$ &quot;* #,##0_);_(&quot;R$ &quot;* \(#,##0\);_(&quot;R$ &quot;* &quot;-&quot;_);_(@_)"/>
    <numFmt numFmtId="170" formatCode="_(&quot;R$ &quot;* #,##0.00_);_(&quot;R$ &quot;* \(#,##0.00\);_(&quot;R$ &quot;* &quot;-&quot;??_);_(@_)"/>
    <numFmt numFmtId="171" formatCode="#,##0.000"/>
    <numFmt numFmtId="172" formatCode="#,##0.0000"/>
    <numFmt numFmtId="173" formatCode="&quot;R$&quot;\ #,##0.00"/>
    <numFmt numFmtId="174" formatCode="0.0"/>
    <numFmt numFmtId="175" formatCode="yyyy"/>
    <numFmt numFmtId="176" formatCode="_([$€-2]* #,##0.00_);_([$€-2]* \(#,##0.00\);_([$€-2]* &quot;-&quot;??_)"/>
    <numFmt numFmtId="177" formatCode="#.00"/>
    <numFmt numFmtId="178" formatCode="%#.00"/>
    <numFmt numFmtId="179" formatCode="_-&quot;R$&quot;\ * #,##0.000_-;\-&quot;R$&quot;\ * #,##0.000_-;_-&quot;R$&quot;\ * &quot;-&quot;???_-;_-@_-"/>
    <numFmt numFmtId="180" formatCode="#."/>
    <numFmt numFmtId="181" formatCode="##0.00"/>
    <numFmt numFmtId="182" formatCode="##0.0000"/>
    <numFmt numFmtId="183" formatCode="_-* #,##0.00\ _€_-;\-* #,##0.00\ _€_-;_-* &quot;-&quot;??\ _€_-;_-@_-"/>
    <numFmt numFmtId="184" formatCode="0&quot;.&quot;0"/>
    <numFmt numFmtId="185" formatCode="&quot;TOTAL=&quot;0.00&quot;m²&quot;"/>
    <numFmt numFmtId="186" formatCode="0.00###"/>
    <numFmt numFmtId="187" formatCode="0&quot;.&quot;0&quot;.&quot;0"/>
    <numFmt numFmtId="188" formatCode="#.##000"/>
    <numFmt numFmtId="189" formatCode="\C&quot;R$&quot;#,##0_);\(\C&quot;R$&quot;#,##0\)"/>
    <numFmt numFmtId="190" formatCode="\$#,#00"/>
    <numFmt numFmtId="191" formatCode="\$#,##0\ ;\(\$#,##0\)"/>
    <numFmt numFmtId="192" formatCode="m\o\n\th\ d\,\ \y\y\y\y"/>
    <numFmt numFmtId="193" formatCode="&quot;Total=&quot;0.00&quot;m&quot;"/>
    <numFmt numFmtId="194" formatCode="&quot;Total=&quot;0.00&quot;m³&quot;"/>
    <numFmt numFmtId="195" formatCode="#,##0\ &quot;€&quot;;\-#,##0\ &quot;€&quot;"/>
    <numFmt numFmtId="196" formatCode="#,#00"/>
    <numFmt numFmtId="197" formatCode="#,"/>
    <numFmt numFmtId="198" formatCode="_(&quot;Cr$&quot;* #,##0.00_);_(&quot;Cr$&quot;* \(#,##0.00\);_(&quot;Cr$&quot;* &quot;-&quot;??_);_(@_)"/>
    <numFmt numFmtId="199" formatCode="%#,#00"/>
    <numFmt numFmtId="200" formatCode="_-* #,##0\ &quot;€&quot;_-;\-* #,##0\ &quot;€&quot;_-;_-* &quot;-&quot;\ &quot;€&quot;_-;_-@_-"/>
    <numFmt numFmtId="201" formatCode="_(* #,##0.00_);_(* \(#,##0.00\);_(* \-??_);_(@_)"/>
    <numFmt numFmtId="202" formatCode="#,##0.00000"/>
    <numFmt numFmtId="203" formatCode="0.000"/>
    <numFmt numFmtId="204" formatCode="0.0%"/>
    <numFmt numFmtId="205" formatCode="0.000%"/>
    <numFmt numFmtId="206" formatCode="_(&quot;R$ &quot;* #,##0.00_);_(&quot;R$ &quot;* \(#,##0.00\);_(&quot;R$ &quot;* \-??_);_(@_)"/>
    <numFmt numFmtId="207" formatCode="_-&quot;R$&quot;* #,##0.00_-;\-&quot;R$&quot;* #,##0.00_-;_-&quot;R$&quot;* &quot;-&quot;??_-;_-@_-"/>
    <numFmt numFmtId="208" formatCode="0.00000"/>
    <numFmt numFmtId="209" formatCode="&quot;R$ &quot;#,##0.00"/>
    <numFmt numFmtId="210" formatCode="_-[$R$-416]\ * #,##0.00_-;\-[$R$-416]\ * #,##0.00_-;_-[$R$-416]\ * &quot;-&quot;??_-;_-@_-"/>
    <numFmt numFmtId="211" formatCode="#,##0.00_ ;[Red]\-#,##0.00\ "/>
  </numFmts>
  <fonts count="10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</font>
    <font>
      <sz val="1"/>
      <color indexed="8"/>
      <name val="Courier"/>
      <family val="3"/>
    </font>
    <font>
      <sz val="10"/>
      <name val="Courier New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8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sz val="11"/>
      <color indexed="8"/>
      <name val="Arial"/>
      <family val="2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Times New Roman"/>
      <family val="1"/>
      <charset val="204"/>
    </font>
    <font>
      <sz val="1"/>
      <color indexed="18"/>
      <name val="Courier"/>
      <family val="3"/>
    </font>
    <font>
      <b/>
      <sz val="18"/>
      <color indexed="62"/>
      <name val="Cambria"/>
      <family val="2"/>
    </font>
    <font>
      <b/>
      <i/>
      <sz val="9"/>
      <name val="Arial"/>
      <family val="2"/>
    </font>
    <font>
      <sz val="10"/>
      <color theme="1"/>
      <name val="Times New Roman"/>
      <family val="2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  <charset val="1"/>
    </font>
    <font>
      <b/>
      <sz val="14"/>
      <name val="Arial"/>
      <family val="2"/>
    </font>
    <font>
      <sz val="12"/>
      <color rgb="FF000000"/>
      <name val="Calibri"/>
      <family val="2"/>
      <charset val="1"/>
    </font>
    <font>
      <b/>
      <sz val="12"/>
      <name val="Arial"/>
      <family val="2"/>
    </font>
    <font>
      <sz val="12"/>
      <color theme="0"/>
      <name val="Calibri"/>
      <family val="2"/>
      <charset val="1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8"/>
      <name val="Arial Narrow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0"/>
      <color rgb="FFFF000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</font>
    <font>
      <b/>
      <i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b/>
      <sz val="8"/>
      <color theme="6" tint="0.59999389629810485"/>
      <name val="Calibri"/>
      <family val="2"/>
      <scheme val="minor"/>
    </font>
    <font>
      <sz val="7"/>
      <name val="Arial"/>
      <family val="2"/>
    </font>
    <font>
      <sz val="8"/>
      <color theme="1"/>
      <name val="Calibri"/>
      <family val="2"/>
      <scheme val="minor"/>
    </font>
    <font>
      <sz val="12"/>
      <name val="Arial"/>
      <family val="2"/>
    </font>
    <font>
      <b/>
      <sz val="8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sz val="10"/>
      <name val="Petrobras_sansxbold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sz val="8"/>
      <color rgb="FF000000"/>
      <name val="Calibri"/>
      <family val="2"/>
      <charset val="1"/>
    </font>
    <font>
      <b/>
      <sz val="11"/>
      <name val="Arial Narrow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0"/>
      <name val="Arial"/>
      <family val="2"/>
    </font>
    <font>
      <sz val="11"/>
      <name val="Times New Roman"/>
      <family val="1"/>
    </font>
    <font>
      <b/>
      <sz val="28"/>
      <color theme="1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61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86" fontId="6" fillId="0" borderId="0" applyFont="0" applyBorder="0">
      <alignment horizontal="center"/>
    </xf>
    <xf numFmtId="184" fontId="6" fillId="0" borderId="0">
      <alignment horizontal="center" vertical="top"/>
    </xf>
    <xf numFmtId="187" fontId="6" fillId="0" borderId="6">
      <alignment horizontal="center"/>
    </xf>
    <xf numFmtId="184" fontId="6" fillId="0" borderId="0">
      <alignment horizontal="center" vertical="top"/>
    </xf>
    <xf numFmtId="43" fontId="33" fillId="0" borderId="0"/>
    <xf numFmtId="43" fontId="33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5" borderId="0" applyNumberFormat="0" applyBorder="0" applyAlignment="0" applyProtection="0"/>
    <xf numFmtId="0" fontId="14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1" fillId="27" borderId="0" applyNumberFormat="0" applyBorder="0" applyAlignment="0" applyProtection="0"/>
    <xf numFmtId="0" fontId="1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28" borderId="0" applyNumberFormat="0" applyBorder="0" applyAlignment="0" applyProtection="0"/>
    <xf numFmtId="0" fontId="11" fillId="22" borderId="0" applyNumberFormat="0" applyBorder="0" applyAlignment="0" applyProtection="0"/>
    <xf numFmtId="0" fontId="11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8" borderId="0" applyNumberFormat="0" applyBorder="0" applyAlignment="0" applyProtection="0"/>
    <xf numFmtId="0" fontId="20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16" fillId="30" borderId="7" applyNumberFormat="0" applyAlignment="0" applyProtection="0"/>
    <xf numFmtId="0" fontId="26" fillId="0" borderId="0"/>
    <xf numFmtId="49" fontId="6" fillId="0" borderId="0" applyNumberFormat="0" applyFont="0" applyFill="0" applyBorder="0" applyAlignment="0" applyProtection="0">
      <alignment horizontal="center"/>
    </xf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7" fillId="31" borderId="8" applyNumberForma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7" fillId="31" borderId="8" applyNumberFormat="0" applyAlignment="0" applyProtection="0"/>
    <xf numFmtId="188" fontId="27" fillId="0" borderId="0"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36" fillId="0" borderId="0" applyFont="0" applyFill="0" applyBorder="0" applyAlignment="0" applyProtection="0"/>
    <xf numFmtId="189" fontId="37" fillId="0" borderId="10" applyFont="0" applyFill="0" applyBorder="0" applyAlignment="0" applyProtection="0">
      <alignment horizontal="center"/>
    </xf>
    <xf numFmtId="189" fontId="37" fillId="0" borderId="10" applyFont="0" applyFill="0" applyBorder="0" applyAlignment="0" applyProtection="0">
      <alignment horizontal="center"/>
    </xf>
    <xf numFmtId="189" fontId="37" fillId="0" borderId="10" applyFont="0" applyFill="0" applyBorder="0" applyAlignment="0" applyProtection="0">
      <alignment horizontal="center"/>
    </xf>
    <xf numFmtId="190" fontId="27" fillId="0" borderId="0">
      <protection locked="0"/>
    </xf>
    <xf numFmtId="191" fontId="6" fillId="0" borderId="0" applyFont="0" applyFill="0" applyBorder="0" applyAlignment="0" applyProtection="0"/>
    <xf numFmtId="175" fontId="27" fillId="0" borderId="0">
      <protection locked="0"/>
    </xf>
    <xf numFmtId="192" fontId="27" fillId="0" borderId="0">
      <protection locked="0"/>
    </xf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0" fontId="19" fillId="9" borderId="7" applyNumberFormat="0" applyAlignment="0" applyProtection="0"/>
    <xf numFmtId="193" fontId="38" fillId="0" borderId="11">
      <alignment horizontal="justify" vertical="top"/>
    </xf>
    <xf numFmtId="193" fontId="38" fillId="0" borderId="11">
      <alignment horizontal="justify" vertical="top"/>
    </xf>
    <xf numFmtId="193" fontId="38" fillId="0" borderId="11">
      <alignment horizontal="justify" vertical="top"/>
    </xf>
    <xf numFmtId="194" fontId="38" fillId="3" borderId="11">
      <alignment horizontal="justify" vertical="top"/>
    </xf>
    <xf numFmtId="193" fontId="38" fillId="3" borderId="11">
      <alignment horizontal="justify" vertical="top"/>
    </xf>
    <xf numFmtId="193" fontId="38" fillId="3" borderId="11">
      <alignment horizontal="justify" vertical="top"/>
    </xf>
    <xf numFmtId="194" fontId="10" fillId="0" borderId="0">
      <alignment horizontal="left" vertical="center" wrapText="1"/>
    </xf>
    <xf numFmtId="194" fontId="10" fillId="0" borderId="0">
      <alignment horizontal="left" vertical="center" wrapText="1"/>
    </xf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11" fillId="0" borderId="0"/>
    <xf numFmtId="0" fontId="11" fillId="0" borderId="0"/>
    <xf numFmtId="195" fontId="39" fillId="0" borderId="0" applyFill="0" applyBorder="0" applyAlignment="0" applyProtection="0"/>
    <xf numFmtId="0" fontId="24" fillId="0" borderId="0" applyNumberFormat="0" applyFill="0" applyBorder="0" applyAlignment="0" applyProtection="0"/>
    <xf numFmtId="196" fontId="27" fillId="0" borderId="0">
      <protection locked="0"/>
    </xf>
    <xf numFmtId="177" fontId="27" fillId="0" borderId="0">
      <protection locked="0"/>
    </xf>
    <xf numFmtId="0" fontId="15" fillId="6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197" fontId="32" fillId="0" borderId="0">
      <protection locked="0"/>
    </xf>
    <xf numFmtId="197" fontId="32" fillId="0" borderId="0"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40" fillId="0" borderId="0"/>
    <xf numFmtId="0" fontId="19" fillId="9" borderId="7" applyNumberFormat="0" applyAlignment="0" applyProtection="0"/>
    <xf numFmtId="0" fontId="6" fillId="0" borderId="6">
      <alignment horizontal="center" vertical="top" wrapText="1"/>
    </xf>
    <xf numFmtId="0" fontId="18" fillId="0" borderId="9" applyNumberFormat="0" applyFill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91" fontId="41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 applyNumberFormat="0" applyFill="0" applyBorder="0" applyProtection="0">
      <alignment vertical="top" wrapText="1"/>
    </xf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0" fontId="6" fillId="36" borderId="15" applyNumberFormat="0" applyFont="0" applyAlignment="0" applyProtection="0"/>
    <xf numFmtId="9" fontId="6" fillId="0" borderId="16" applyNumberFormat="0" applyBorder="0">
      <alignment horizontal="center" vertical="center"/>
    </xf>
    <xf numFmtId="0" fontId="22" fillId="30" borderId="17" applyNumberFormat="0" applyAlignment="0" applyProtection="0"/>
    <xf numFmtId="0" fontId="7" fillId="37" borderId="1" applyNumberFormat="0" applyFont="0" applyBorder="0" applyAlignment="0" applyProtection="0">
      <alignment horizontal="center"/>
    </xf>
    <xf numFmtId="199" fontId="27" fillId="0" borderId="0">
      <protection locked="0"/>
    </xf>
    <xf numFmtId="178" fontId="27" fillId="0" borderId="0">
      <protection locked="0"/>
    </xf>
    <xf numFmtId="0" fontId="13" fillId="0" borderId="18" applyNumberFormat="0" applyFont="0" applyBorder="0" applyAlignment="0"/>
    <xf numFmtId="4" fontId="27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0" fontId="22" fillId="30" borderId="17" applyNumberFormat="0" applyAlignment="0" applyProtection="0"/>
    <xf numFmtId="180" fontId="43" fillId="0" borderId="0">
      <protection locked="0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201" fontId="11" fillId="0" borderId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0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5" fontId="6" fillId="0" borderId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43" fontId="45" fillId="0" borderId="19"/>
    <xf numFmtId="43" fontId="45" fillId="0" borderId="19"/>
    <xf numFmtId="43" fontId="9" fillId="0" borderId="20"/>
    <xf numFmtId="43" fontId="9" fillId="0" borderId="2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12" applyNumberFormat="0" applyFill="0" applyAlignment="0" applyProtection="0"/>
    <xf numFmtId="0" fontId="12" fillId="0" borderId="0" applyNumberFormat="0" applyFill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80" fontId="32" fillId="0" borderId="0">
      <protection locked="0"/>
    </xf>
    <xf numFmtId="180" fontId="32" fillId="0" borderId="0">
      <protection locked="0"/>
    </xf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180" fontId="27" fillId="0" borderId="22">
      <protection locked="0"/>
    </xf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7" fillId="0" borderId="0"/>
    <xf numFmtId="0" fontId="47" fillId="0" borderId="0"/>
    <xf numFmtId="0" fontId="53" fillId="0" borderId="0"/>
    <xf numFmtId="9" fontId="1" fillId="0" borderId="0" applyFont="0" applyFill="0" applyBorder="0" applyAlignment="0" applyProtection="0"/>
    <xf numFmtId="206" fontId="6" fillId="0" borderId="0" applyFill="0" applyBorder="0" applyAlignment="0" applyProtection="0"/>
    <xf numFmtId="0" fontId="37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0" fontId="63" fillId="0" borderId="0"/>
    <xf numFmtId="207" fontId="1" fillId="0" borderId="0" applyFont="0" applyFill="0" applyBorder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6" fillId="30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0" fontId="19" fillId="9" borderId="39" applyNumberFormat="0" applyAlignment="0" applyProtection="0"/>
    <xf numFmtId="172" fontId="6" fillId="0" borderId="0" applyFont="0" applyFill="0" applyBorder="0" applyAlignment="0" applyProtection="0"/>
    <xf numFmtId="0" fontId="6" fillId="0" borderId="0"/>
    <xf numFmtId="0" fontId="6" fillId="0" borderId="0"/>
    <xf numFmtId="0" fontId="68" fillId="0" borderId="0"/>
    <xf numFmtId="0" fontId="68" fillId="0" borderId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6" fillId="36" borderId="40" applyNumberFormat="0" applyFon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2" fillId="30" borderId="41" applyNumberFormat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0" fontId="25" fillId="0" borderId="42" applyNumberFormat="0" applyFill="0" applyAlignment="0" applyProtection="0"/>
    <xf numFmtId="43" fontId="6" fillId="0" borderId="0" applyFont="0" applyFill="0" applyBorder="0" applyAlignment="0" applyProtection="0"/>
    <xf numFmtId="44" fontId="68" fillId="0" borderId="0" applyFont="0" applyFill="0" applyBorder="0" applyAlignment="0" applyProtection="0"/>
    <xf numFmtId="0" fontId="68" fillId="0" borderId="0"/>
    <xf numFmtId="0" fontId="68" fillId="0" borderId="0"/>
    <xf numFmtId="0" fontId="68" fillId="0" borderId="0"/>
    <xf numFmtId="0" fontId="6" fillId="0" borderId="0"/>
    <xf numFmtId="43" fontId="68" fillId="0" borderId="0" applyFont="0" applyFill="0" applyBorder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5" fillId="0" borderId="46" applyNumberFormat="0" applyFill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22" fillId="30" borderId="45" applyNumberForma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6" fillId="36" borderId="44" applyNumberFormat="0" applyFon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9" fillId="9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16" fillId="30" borderId="43" applyNumberFormat="0" applyAlignment="0" applyProtection="0"/>
    <xf numFmtId="0" fontId="82" fillId="0" borderId="0"/>
    <xf numFmtId="0" fontId="82" fillId="0" borderId="0"/>
    <xf numFmtId="0" fontId="37" fillId="0" borderId="0"/>
  </cellStyleXfs>
  <cellXfs count="667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Font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2" fillId="0" borderId="0" xfId="3207" applyFont="1"/>
    <xf numFmtId="0" fontId="50" fillId="0" borderId="0" xfId="3207" applyFont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Continuous"/>
    </xf>
    <xf numFmtId="0" fontId="3" fillId="3" borderId="0" xfId="0" applyFont="1" applyFill="1" applyBorder="1" applyAlignment="1">
      <alignment horizontal="right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0" xfId="0" applyFont="1" applyFill="1" applyAlignment="1">
      <alignment vertical="top"/>
    </xf>
    <xf numFmtId="2" fontId="6" fillId="0" borderId="1" xfId="0" applyNumberFormat="1" applyFont="1" applyFill="1" applyBorder="1" applyAlignment="1">
      <alignment horizontal="center"/>
    </xf>
    <xf numFmtId="0" fontId="54" fillId="3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2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49" fillId="3" borderId="0" xfId="703" applyFont="1" applyFill="1" applyBorder="1" applyAlignment="1">
      <alignment horizontal="center" vertical="center"/>
    </xf>
    <xf numFmtId="4" fontId="3" fillId="3" borderId="28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57" fillId="3" borderId="1" xfId="0" applyFont="1" applyFill="1" applyBorder="1" applyAlignment="1">
      <alignment horizontal="center" vertical="center"/>
    </xf>
    <xf numFmtId="0" fontId="57" fillId="3" borderId="1" xfId="0" applyFont="1" applyFill="1" applyBorder="1" applyAlignment="1">
      <alignment horizontal="left" vertical="center"/>
    </xf>
    <xf numFmtId="0" fontId="57" fillId="3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7" fillId="41" borderId="1" xfId="0" applyFont="1" applyFill="1" applyBorder="1" applyAlignment="1">
      <alignment horizontal="center" vertical="center"/>
    </xf>
    <xf numFmtId="0" fontId="7" fillId="41" borderId="29" xfId="0" applyFont="1" applyFill="1" applyBorder="1" applyAlignment="1">
      <alignment horizontal="center" vertical="center"/>
    </xf>
    <xf numFmtId="0" fontId="7" fillId="41" borderId="1" xfId="0" applyFont="1" applyFill="1" applyBorder="1" applyAlignment="1">
      <alignment horizontal="center" vertical="center" wrapText="1"/>
    </xf>
    <xf numFmtId="0" fontId="7" fillId="41" borderId="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/>
    </xf>
    <xf numFmtId="0" fontId="7" fillId="0" borderId="0" xfId="0" applyFont="1" applyBorder="1"/>
    <xf numFmtId="0" fontId="6" fillId="0" borderId="26" xfId="0" applyFont="1" applyBorder="1" applyAlignment="1">
      <alignment horizontal="center"/>
    </xf>
    <xf numFmtId="0" fontId="6" fillId="0" borderId="0" xfId="0" applyFont="1" applyBorder="1"/>
    <xf numFmtId="49" fontId="6" fillId="0" borderId="26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"/>
    </xf>
    <xf numFmtId="10" fontId="7" fillId="3" borderId="27" xfId="0" applyNumberFormat="1" applyFont="1" applyFill="1" applyBorder="1"/>
    <xf numFmtId="0" fontId="6" fillId="0" borderId="5" xfId="0" applyFont="1" applyBorder="1" applyAlignment="1">
      <alignment horizontal="center"/>
    </xf>
    <xf numFmtId="0" fontId="6" fillId="0" borderId="25" xfId="0" applyFont="1" applyBorder="1"/>
    <xf numFmtId="0" fontId="6" fillId="41" borderId="3" xfId="0" applyFont="1" applyFill="1" applyBorder="1" applyAlignment="1">
      <alignment horizontal="center" vertical="center"/>
    </xf>
    <xf numFmtId="4" fontId="6" fillId="41" borderId="29" xfId="0" applyNumberFormat="1" applyFont="1" applyFill="1" applyBorder="1" applyAlignment="1">
      <alignment vertical="center"/>
    </xf>
    <xf numFmtId="10" fontId="7" fillId="41" borderId="1" xfId="1165" applyNumberFormat="1" applyFont="1" applyFill="1" applyBorder="1" applyAlignment="1">
      <alignment vertical="center"/>
    </xf>
    <xf numFmtId="0" fontId="6" fillId="42" borderId="0" xfId="0" applyFont="1" applyFill="1" applyBorder="1" applyAlignment="1">
      <alignment horizontal="center"/>
    </xf>
    <xf numFmtId="0" fontId="7" fillId="42" borderId="0" xfId="0" applyFont="1" applyFill="1" applyBorder="1" applyAlignment="1">
      <alignment horizontal="center"/>
    </xf>
    <xf numFmtId="4" fontId="6" fillId="42" borderId="0" xfId="0" applyNumberFormat="1" applyFont="1" applyFill="1" applyBorder="1"/>
    <xf numFmtId="10" fontId="7" fillId="42" borderId="0" xfId="1165" applyNumberFormat="1" applyFont="1" applyFill="1" applyBorder="1"/>
    <xf numFmtId="0" fontId="6" fillId="3" borderId="0" xfId="0" applyFont="1" applyFill="1" applyAlignment="1">
      <alignment horizontal="left"/>
    </xf>
    <xf numFmtId="4" fontId="6" fillId="3" borderId="0" xfId="0" applyNumberFormat="1" applyFont="1" applyFill="1"/>
    <xf numFmtId="9" fontId="6" fillId="3" borderId="0" xfId="1165" applyFont="1" applyFill="1"/>
    <xf numFmtId="0" fontId="6" fillId="3" borderId="0" xfId="0" applyFont="1" applyFill="1" applyAlignment="1"/>
    <xf numFmtId="0" fontId="7" fillId="43" borderId="1" xfId="0" applyFont="1" applyFill="1" applyBorder="1" applyAlignment="1">
      <alignment horizontal="center" vertical="center"/>
    </xf>
    <xf numFmtId="1" fontId="48" fillId="0" borderId="0" xfId="3207" applyNumberFormat="1" applyFont="1"/>
    <xf numFmtId="0" fontId="6" fillId="0" borderId="1" xfId="0" applyFont="1" applyFill="1" applyBorder="1" applyAlignment="1">
      <alignment horizontal="center" vertical="center"/>
    </xf>
    <xf numFmtId="0" fontId="0" fillId="0" borderId="0" xfId="0"/>
    <xf numFmtId="0" fontId="54" fillId="3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0" fillId="0" borderId="0" xfId="0"/>
    <xf numFmtId="0" fontId="33" fillId="0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/>
    </xf>
    <xf numFmtId="0" fontId="54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45" borderId="28" xfId="0" applyFill="1" applyBorder="1" applyAlignment="1">
      <alignment horizontal="left" vertical="center"/>
    </xf>
    <xf numFmtId="0" fontId="3" fillId="45" borderId="28" xfId="0" applyFont="1" applyFill="1" applyBorder="1" applyAlignment="1">
      <alignment horizontal="left" vertical="center"/>
    </xf>
    <xf numFmtId="4" fontId="0" fillId="45" borderId="28" xfId="0" applyNumberFormat="1" applyFill="1" applyBorder="1" applyAlignment="1">
      <alignment horizontal="left" vertical="center"/>
    </xf>
    <xf numFmtId="164" fontId="3" fillId="45" borderId="28" xfId="0" applyNumberFormat="1" applyFont="1" applyFill="1" applyBorder="1" applyAlignment="1">
      <alignment horizontal="center" vertical="center"/>
    </xf>
    <xf numFmtId="205" fontId="3" fillId="45" borderId="28" xfId="3209" applyNumberFormat="1" applyFont="1" applyFill="1" applyBorder="1" applyAlignment="1">
      <alignment horizontal="center" vertical="center"/>
    </xf>
    <xf numFmtId="0" fontId="0" fillId="0" borderId="0" xfId="0"/>
    <xf numFmtId="0" fontId="7" fillId="3" borderId="1" xfId="0" applyFont="1" applyFill="1" applyBorder="1" applyAlignment="1">
      <alignment horizontal="center" vertical="center"/>
    </xf>
    <xf numFmtId="0" fontId="0" fillId="0" borderId="0" xfId="0"/>
    <xf numFmtId="0" fontId="4" fillId="3" borderId="0" xfId="0" applyFont="1" applyFill="1"/>
    <xf numFmtId="0" fontId="0" fillId="3" borderId="32" xfId="0" applyFill="1" applyBorder="1"/>
    <xf numFmtId="0" fontId="60" fillId="3" borderId="34" xfId="0" applyFont="1" applyFill="1" applyBorder="1"/>
    <xf numFmtId="0" fontId="0" fillId="3" borderId="34" xfId="0" applyFill="1" applyBorder="1"/>
    <xf numFmtId="0" fontId="0" fillId="3" borderId="33" xfId="0" applyFill="1" applyBorder="1"/>
    <xf numFmtId="0" fontId="0" fillId="3" borderId="38" xfId="0" applyFill="1" applyBorder="1"/>
    <xf numFmtId="0" fontId="2" fillId="3" borderId="0" xfId="0" applyFont="1" applyFill="1" applyBorder="1"/>
    <xf numFmtId="0" fontId="0" fillId="3" borderId="37" xfId="0" applyFill="1" applyBorder="1"/>
    <xf numFmtId="0" fontId="0" fillId="3" borderId="35" xfId="0" applyFill="1" applyBorder="1"/>
    <xf numFmtId="0" fontId="0" fillId="3" borderId="23" xfId="0" applyFill="1" applyBorder="1"/>
    <xf numFmtId="0" fontId="0" fillId="3" borderId="36" xfId="0" applyFill="1" applyBorder="1"/>
    <xf numFmtId="0" fontId="54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0" fillId="0" borderId="0" xfId="0"/>
    <xf numFmtId="0" fontId="57" fillId="46" borderId="1" xfId="0" applyFont="1" applyFill="1" applyBorder="1" applyAlignment="1">
      <alignment horizontal="center" vertical="center"/>
    </xf>
    <xf numFmtId="0" fontId="57" fillId="46" borderId="1" xfId="0" applyFont="1" applyFill="1" applyBorder="1" applyAlignment="1">
      <alignment horizontal="left" vertical="center"/>
    </xf>
    <xf numFmtId="205" fontId="57" fillId="46" borderId="1" xfId="3209" applyNumberFormat="1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0" fillId="3" borderId="0" xfId="0" applyFont="1" applyFill="1" applyBorder="1"/>
    <xf numFmtId="0" fontId="54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Continuous"/>
    </xf>
    <xf numFmtId="0" fontId="3" fillId="45" borderId="3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Fill="1" applyBorder="1"/>
    <xf numFmtId="0" fontId="54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centerContinuous"/>
    </xf>
    <xf numFmtId="0" fontId="54" fillId="3" borderId="0" xfId="0" applyFont="1" applyFill="1" applyBorder="1" applyAlignment="1">
      <alignment horizontal="center" vertical="center"/>
    </xf>
    <xf numFmtId="0" fontId="0" fillId="45" borderId="31" xfId="0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/>
    <xf numFmtId="49" fontId="64" fillId="0" borderId="26" xfId="0" applyNumberFormat="1" applyFont="1" applyBorder="1" applyAlignment="1">
      <alignment horizontal="center"/>
    </xf>
    <xf numFmtId="0" fontId="64" fillId="0" borderId="0" xfId="0" applyFont="1" applyBorder="1"/>
    <xf numFmtId="0" fontId="6" fillId="3" borderId="26" xfId="0" applyFont="1" applyFill="1" applyBorder="1"/>
    <xf numFmtId="0" fontId="6" fillId="3" borderId="27" xfId="0" applyFont="1" applyFill="1" applyBorder="1"/>
    <xf numFmtId="10" fontId="6" fillId="3" borderId="26" xfId="0" applyNumberFormat="1" applyFont="1" applyFill="1" applyBorder="1" applyAlignment="1">
      <alignment horizontal="center"/>
    </xf>
    <xf numFmtId="10" fontId="6" fillId="3" borderId="27" xfId="0" applyNumberFormat="1" applyFont="1" applyFill="1" applyBorder="1" applyAlignment="1">
      <alignment horizontal="center"/>
    </xf>
    <xf numFmtId="10" fontId="6" fillId="3" borderId="27" xfId="0" applyNumberFormat="1" applyFont="1" applyFill="1" applyBorder="1"/>
    <xf numFmtId="10" fontId="59" fillId="3" borderId="26" xfId="0" applyNumberFormat="1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center"/>
    </xf>
    <xf numFmtId="4" fontId="6" fillId="3" borderId="24" xfId="0" applyNumberFormat="1" applyFont="1" applyFill="1" applyBorder="1" applyAlignment="1">
      <alignment horizontal="center"/>
    </xf>
    <xf numFmtId="4" fontId="6" fillId="3" borderId="24" xfId="0" applyNumberFormat="1" applyFont="1" applyFill="1" applyBorder="1"/>
    <xf numFmtId="0" fontId="7" fillId="3" borderId="26" xfId="0" applyFont="1" applyFill="1" applyBorder="1" applyAlignment="1">
      <alignment horizontal="center"/>
    </xf>
    <xf numFmtId="0" fontId="7" fillId="3" borderId="0" xfId="0" applyFont="1" applyFill="1" applyBorder="1"/>
    <xf numFmtId="10" fontId="7" fillId="3" borderId="26" xfId="0" applyNumberFormat="1" applyFont="1" applyFill="1" applyBorder="1"/>
    <xf numFmtId="0" fontId="6" fillId="3" borderId="26" xfId="0" applyFont="1" applyFill="1" applyBorder="1" applyAlignment="1">
      <alignment horizontal="center"/>
    </xf>
    <xf numFmtId="0" fontId="6" fillId="3" borderId="0" xfId="0" applyFont="1" applyFill="1" applyBorder="1"/>
    <xf numFmtId="10" fontId="6" fillId="3" borderId="26" xfId="0" applyNumberFormat="1" applyFont="1" applyFill="1" applyBorder="1"/>
    <xf numFmtId="49" fontId="6" fillId="3" borderId="26" xfId="0" applyNumberFormat="1" applyFont="1" applyFill="1" applyBorder="1" applyAlignment="1">
      <alignment horizontal="center"/>
    </xf>
    <xf numFmtId="49" fontId="64" fillId="3" borderId="26" xfId="0" applyNumberFormat="1" applyFont="1" applyFill="1" applyBorder="1" applyAlignment="1">
      <alignment horizontal="center"/>
    </xf>
    <xf numFmtId="0" fontId="64" fillId="3" borderId="0" xfId="0" applyFont="1" applyFill="1" applyBorder="1"/>
    <xf numFmtId="10" fontId="64" fillId="3" borderId="26" xfId="0" applyNumberFormat="1" applyFont="1" applyFill="1" applyBorder="1"/>
    <xf numFmtId="49" fontId="7" fillId="3" borderId="26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25" xfId="0" applyFont="1" applyFill="1" applyBorder="1"/>
    <xf numFmtId="4" fontId="6" fillId="3" borderId="5" xfId="0" applyNumberFormat="1" applyFont="1" applyFill="1" applyBorder="1"/>
    <xf numFmtId="0" fontId="2" fillId="3" borderId="2" xfId="0" applyFont="1" applyFill="1" applyBorder="1"/>
    <xf numFmtId="10" fontId="0" fillId="3" borderId="2" xfId="0" applyNumberFormat="1" applyFill="1" applyBorder="1" applyAlignment="1">
      <alignment horizontal="center"/>
    </xf>
    <xf numFmtId="0" fontId="2" fillId="3" borderId="26" xfId="0" applyFont="1" applyFill="1" applyBorder="1"/>
    <xf numFmtId="10" fontId="0" fillId="3" borderId="26" xfId="0" applyNumberFormat="1" applyFill="1" applyBorder="1" applyAlignment="1">
      <alignment horizontal="center"/>
    </xf>
    <xf numFmtId="0" fontId="2" fillId="3" borderId="5" xfId="0" applyFont="1" applyFill="1" applyBorder="1"/>
    <xf numFmtId="10" fontId="0" fillId="3" borderId="5" xfId="0" applyNumberFormat="1" applyFill="1" applyBorder="1" applyAlignment="1">
      <alignment horizontal="center"/>
    </xf>
    <xf numFmtId="10" fontId="0" fillId="3" borderId="0" xfId="0" applyNumberFormat="1" applyFill="1"/>
    <xf numFmtId="0" fontId="65" fillId="3" borderId="0" xfId="0" applyFont="1" applyFill="1" applyBorder="1" applyAlignment="1">
      <alignment horizontal="centerContinuous" vertical="justify"/>
    </xf>
    <xf numFmtId="0" fontId="54" fillId="3" borderId="0" xfId="0" applyFont="1" applyFill="1" applyAlignment="1">
      <alignment horizontal="centerContinuous" vertical="justify"/>
    </xf>
    <xf numFmtId="0" fontId="54" fillId="3" borderId="0" xfId="0" applyFont="1" applyFill="1" applyAlignment="1">
      <alignment horizontal="centerContinuous" vertical="center"/>
    </xf>
    <xf numFmtId="0" fontId="57" fillId="3" borderId="0" xfId="0" applyFont="1" applyFill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2" fillId="0" borderId="1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10" fontId="55" fillId="3" borderId="0" xfId="0" applyNumberFormat="1" applyFont="1" applyFill="1" applyBorder="1" applyAlignment="1">
      <alignment horizontal="left" vertical="center"/>
    </xf>
    <xf numFmtId="164" fontId="69" fillId="0" borderId="1" xfId="0" applyNumberFormat="1" applyFont="1" applyFill="1" applyBorder="1" applyAlignment="1">
      <alignment horizontal="right" vertical="center"/>
    </xf>
    <xf numFmtId="0" fontId="70" fillId="0" borderId="0" xfId="0" applyFont="1" applyAlignment="1">
      <alignment horizontal="center" vertical="center" wrapText="1"/>
    </xf>
    <xf numFmtId="0" fontId="0" fillId="3" borderId="23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0" fillId="3" borderId="48" xfId="0" applyFill="1" applyBorder="1"/>
    <xf numFmtId="0" fontId="0" fillId="3" borderId="49" xfId="0" applyFill="1" applyBorder="1"/>
    <xf numFmtId="0" fontId="0" fillId="3" borderId="37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47" xfId="0" applyFill="1" applyBorder="1" applyAlignment="1">
      <alignment horizontal="right"/>
    </xf>
    <xf numFmtId="0" fontId="5" fillId="3" borderId="0" xfId="0" applyFont="1" applyFill="1"/>
    <xf numFmtId="0" fontId="5" fillId="3" borderId="0" xfId="0" quotePrefix="1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2" fontId="6" fillId="0" borderId="1" xfId="0" quotePrefix="1" applyNumberFormat="1" applyFont="1" applyFill="1" applyBorder="1" applyAlignment="1">
      <alignment horizontal="center" vertical="center"/>
    </xf>
    <xf numFmtId="10" fontId="0" fillId="0" borderId="1" xfId="3209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/>
    </xf>
    <xf numFmtId="43" fontId="7" fillId="0" borderId="1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10" fontId="0" fillId="3" borderId="0" xfId="3209" applyNumberFormat="1" applyFont="1" applyFill="1" applyAlignment="1">
      <alignment horizontal="center" vertical="top"/>
    </xf>
    <xf numFmtId="0" fontId="0" fillId="3" borderId="0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top"/>
    </xf>
    <xf numFmtId="0" fontId="0" fillId="0" borderId="1" xfId="0" quotePrefix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6" fillId="0" borderId="0" xfId="703" applyNumberFormat="1" applyFont="1" applyFill="1" applyBorder="1" applyAlignment="1">
      <alignment vertical="center" wrapText="1"/>
    </xf>
    <xf numFmtId="4" fontId="6" fillId="0" borderId="0" xfId="3213" applyNumberFormat="1" applyFont="1" applyFill="1" applyBorder="1" applyAlignment="1" applyProtection="1">
      <alignment horizontal="right" vertical="center" wrapText="1"/>
    </xf>
    <xf numFmtId="4" fontId="6" fillId="0" borderId="0" xfId="703" applyNumberFormat="1" applyFont="1" applyFill="1" applyAlignment="1">
      <alignment vertical="center" wrapText="1"/>
    </xf>
    <xf numFmtId="1" fontId="6" fillId="0" borderId="0" xfId="703" applyNumberFormat="1" applyFont="1" applyFill="1" applyAlignment="1">
      <alignment horizontal="center" vertical="center" wrapText="1"/>
    </xf>
    <xf numFmtId="4" fontId="33" fillId="0" borderId="0" xfId="703" applyNumberFormat="1" applyFont="1" applyFill="1" applyBorder="1" applyAlignment="1">
      <alignment vertical="center" wrapText="1"/>
    </xf>
    <xf numFmtId="10" fontId="72" fillId="0" borderId="51" xfId="703" applyNumberFormat="1" applyFont="1" applyFill="1" applyBorder="1" applyAlignment="1">
      <alignment vertical="center" wrapText="1"/>
    </xf>
    <xf numFmtId="209" fontId="72" fillId="0" borderId="52" xfId="703" applyNumberFormat="1" applyFont="1" applyFill="1" applyBorder="1" applyAlignment="1">
      <alignment vertical="center" wrapText="1"/>
    </xf>
    <xf numFmtId="4" fontId="33" fillId="50" borderId="27" xfId="3213" applyNumberFormat="1" applyFont="1" applyFill="1" applyBorder="1" applyAlignment="1" applyProtection="1">
      <alignment horizontal="right" vertical="center" wrapText="1"/>
    </xf>
    <xf numFmtId="4" fontId="75" fillId="50" borderId="0" xfId="703" applyNumberFormat="1" applyFont="1" applyFill="1" applyBorder="1" applyAlignment="1">
      <alignment vertical="center" wrapText="1"/>
    </xf>
    <xf numFmtId="4" fontId="33" fillId="50" borderId="0" xfId="703" applyNumberFormat="1" applyFont="1" applyFill="1" applyBorder="1" applyAlignment="1">
      <alignment vertical="center" wrapText="1"/>
    </xf>
    <xf numFmtId="1" fontId="33" fillId="50" borderId="16" xfId="703" applyNumberFormat="1" applyFont="1" applyFill="1" applyBorder="1" applyAlignment="1">
      <alignment horizontal="center" vertical="center" wrapText="1"/>
    </xf>
    <xf numFmtId="10" fontId="75" fillId="49" borderId="1" xfId="703" applyNumberFormat="1" applyFont="1" applyFill="1" applyBorder="1" applyAlignment="1">
      <alignment horizontal="center" vertical="center" wrapText="1"/>
    </xf>
    <xf numFmtId="10" fontId="75" fillId="0" borderId="1" xfId="703" applyNumberFormat="1" applyFont="1" applyFill="1" applyBorder="1" applyAlignment="1">
      <alignment horizontal="center" vertical="center" wrapText="1"/>
    </xf>
    <xf numFmtId="1" fontId="72" fillId="51" borderId="0" xfId="491" applyNumberFormat="1" applyFont="1" applyFill="1" applyBorder="1" applyAlignment="1">
      <alignment horizontal="center" vertical="center" wrapText="1"/>
    </xf>
    <xf numFmtId="173" fontId="75" fillId="3" borderId="1" xfId="703" applyNumberFormat="1" applyFont="1" applyFill="1" applyBorder="1" applyAlignment="1">
      <alignment horizontal="center" vertical="center" wrapText="1"/>
    </xf>
    <xf numFmtId="173" fontId="75" fillId="0" borderId="1" xfId="703" applyNumberFormat="1" applyFont="1" applyFill="1" applyBorder="1" applyAlignment="1">
      <alignment horizontal="center" vertical="center" wrapText="1"/>
    </xf>
    <xf numFmtId="4" fontId="33" fillId="0" borderId="27" xfId="3213" applyNumberFormat="1" applyFont="1" applyFill="1" applyBorder="1" applyAlignment="1" applyProtection="1">
      <alignment horizontal="right" vertical="center" wrapText="1"/>
    </xf>
    <xf numFmtId="4" fontId="75" fillId="0" borderId="0" xfId="703" applyNumberFormat="1" applyFont="1" applyFill="1" applyBorder="1" applyAlignment="1">
      <alignment vertical="center" wrapText="1"/>
    </xf>
    <xf numFmtId="1" fontId="33" fillId="0" borderId="16" xfId="703" applyNumberFormat="1" applyFont="1" applyFill="1" applyBorder="1" applyAlignment="1">
      <alignment horizontal="center" vertical="center" wrapText="1"/>
    </xf>
    <xf numFmtId="210" fontId="72" fillId="51" borderId="0" xfId="491" applyNumberFormat="1" applyFont="1" applyFill="1" applyBorder="1" applyAlignment="1">
      <alignment horizontal="right" vertical="center" wrapText="1"/>
    </xf>
    <xf numFmtId="4" fontId="77" fillId="0" borderId="0" xfId="703" applyNumberFormat="1" applyFont="1" applyFill="1" applyBorder="1" applyAlignment="1">
      <alignment vertical="center" wrapText="1"/>
    </xf>
    <xf numFmtId="210" fontId="51" fillId="51" borderId="0" xfId="491" applyNumberFormat="1" applyFont="1" applyFill="1" applyBorder="1" applyAlignment="1">
      <alignment horizontal="right" vertical="center" wrapText="1"/>
    </xf>
    <xf numFmtId="4" fontId="33" fillId="50" borderId="54" xfId="3213" applyNumberFormat="1" applyFont="1" applyFill="1" applyBorder="1" applyAlignment="1" applyProtection="1">
      <alignment horizontal="right" vertical="center" wrapText="1"/>
    </xf>
    <xf numFmtId="4" fontId="51" fillId="0" borderId="0" xfId="703" applyNumberFormat="1" applyFont="1" applyFill="1" applyBorder="1" applyAlignment="1">
      <alignment vertical="center" wrapText="1"/>
    </xf>
    <xf numFmtId="4" fontId="51" fillId="0" borderId="30" xfId="703" applyNumberFormat="1" applyFont="1" applyFill="1" applyBorder="1" applyAlignment="1">
      <alignment vertical="center" wrapText="1"/>
    </xf>
    <xf numFmtId="4" fontId="6" fillId="50" borderId="30" xfId="703" applyNumberFormat="1" applyFont="1" applyFill="1" applyBorder="1" applyAlignment="1">
      <alignment vertical="center" wrapText="1"/>
    </xf>
    <xf numFmtId="1" fontId="6" fillId="50" borderId="55" xfId="703" applyNumberFormat="1" applyFont="1" applyFill="1" applyBorder="1" applyAlignment="1">
      <alignment horizontal="center" vertical="center" wrapText="1"/>
    </xf>
    <xf numFmtId="210" fontId="51" fillId="51" borderId="56" xfId="491" applyNumberFormat="1" applyFont="1" applyFill="1" applyBorder="1" applyAlignment="1">
      <alignment horizontal="right" vertical="center" wrapText="1"/>
    </xf>
    <xf numFmtId="4" fontId="51" fillId="51" borderId="56" xfId="3210" applyNumberFormat="1" applyFont="1" applyFill="1" applyBorder="1" applyAlignment="1" applyProtection="1">
      <alignment horizontal="center" vertical="center" wrapText="1"/>
    </xf>
    <xf numFmtId="4" fontId="51" fillId="51" borderId="0" xfId="3210" applyNumberFormat="1" applyFont="1" applyFill="1" applyBorder="1" applyAlignment="1" applyProtection="1">
      <alignment horizontal="center" vertical="center" wrapText="1"/>
    </xf>
    <xf numFmtId="4" fontId="72" fillId="51" borderId="0" xfId="3210" applyNumberFormat="1" applyFont="1" applyFill="1" applyBorder="1" applyAlignment="1" applyProtection="1">
      <alignment horizontal="center" vertical="center" wrapText="1"/>
    </xf>
    <xf numFmtId="4" fontId="51" fillId="0" borderId="56" xfId="703" applyNumberFormat="1" applyFont="1" applyFill="1" applyBorder="1" applyAlignment="1">
      <alignment horizontal="center" vertical="center" wrapText="1"/>
    </xf>
    <xf numFmtId="4" fontId="51" fillId="0" borderId="0" xfId="703" applyNumberFormat="1" applyFont="1" applyFill="1" applyBorder="1" applyAlignment="1">
      <alignment horizontal="center" vertical="center" wrapText="1"/>
    </xf>
    <xf numFmtId="4" fontId="7" fillId="0" borderId="56" xfId="703" applyNumberFormat="1" applyFont="1" applyFill="1" applyBorder="1" applyAlignment="1">
      <alignment horizontal="left" vertical="center" wrapText="1"/>
    </xf>
    <xf numFmtId="4" fontId="7" fillId="0" borderId="0" xfId="703" applyNumberFormat="1" applyFont="1" applyFill="1" applyBorder="1" applyAlignment="1">
      <alignment horizontal="left" vertical="center" wrapText="1"/>
    </xf>
    <xf numFmtId="4" fontId="6" fillId="0" borderId="56" xfId="703" applyNumberFormat="1" applyFont="1" applyFill="1" applyBorder="1" applyAlignment="1">
      <alignment horizontal="center" vertical="center" wrapText="1"/>
    </xf>
    <xf numFmtId="4" fontId="6" fillId="0" borderId="0" xfId="703" applyNumberFormat="1" applyFont="1" applyFill="1" applyBorder="1" applyAlignment="1">
      <alignment horizontal="center" vertical="center" wrapText="1"/>
    </xf>
    <xf numFmtId="209" fontId="33" fillId="0" borderId="1" xfId="703" applyNumberFormat="1" applyFont="1" applyFill="1" applyBorder="1" applyAlignment="1">
      <alignment vertical="center" wrapText="1"/>
    </xf>
    <xf numFmtId="10" fontId="75" fillId="3" borderId="1" xfId="703" applyNumberFormat="1" applyFont="1" applyFill="1" applyBorder="1" applyAlignment="1">
      <alignment horizontal="center" vertical="center" wrapText="1"/>
    </xf>
    <xf numFmtId="1" fontId="6" fillId="0" borderId="0" xfId="703" applyNumberFormat="1" applyFont="1" applyFill="1" applyBorder="1" applyAlignment="1">
      <alignment horizontal="center" vertical="center" wrapText="1"/>
    </xf>
    <xf numFmtId="4" fontId="33" fillId="0" borderId="0" xfId="3213" applyNumberFormat="1" applyFont="1" applyFill="1" applyBorder="1" applyAlignment="1" applyProtection="1">
      <alignment horizontal="right" vertical="center" wrapText="1"/>
    </xf>
    <xf numFmtId="0" fontId="0" fillId="3" borderId="0" xfId="0" applyFill="1" applyBorder="1" applyAlignment="1">
      <alignment horizontal="left" vertical="center"/>
    </xf>
    <xf numFmtId="0" fontId="7" fillId="48" borderId="1" xfId="0" applyFont="1" applyFill="1" applyBorder="1" applyAlignment="1">
      <alignment horizontal="center" vertical="center"/>
    </xf>
    <xf numFmtId="2" fontId="7" fillId="48" borderId="1" xfId="0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2" fillId="3" borderId="1" xfId="0" applyFont="1" applyFill="1" applyBorder="1" applyAlignment="1">
      <alignment horizontal="center" vertical="center"/>
    </xf>
    <xf numFmtId="204" fontId="0" fillId="45" borderId="28" xfId="0" applyNumberFormat="1" applyFill="1" applyBorder="1" applyAlignment="1">
      <alignment horizontal="left" vertical="center"/>
    </xf>
    <xf numFmtId="0" fontId="0" fillId="45" borderId="4" xfId="0" applyFill="1" applyBorder="1" applyAlignment="1">
      <alignment horizontal="left" vertical="center"/>
    </xf>
    <xf numFmtId="0" fontId="3" fillId="46" borderId="31" xfId="0" applyFont="1" applyFill="1" applyBorder="1" applyAlignment="1">
      <alignment horizontal="center" vertical="center"/>
    </xf>
    <xf numFmtId="0" fontId="0" fillId="46" borderId="31" xfId="0" applyFill="1" applyBorder="1" applyAlignment="1">
      <alignment horizontal="left" vertical="center"/>
    </xf>
    <xf numFmtId="0" fontId="0" fillId="46" borderId="28" xfId="0" applyFill="1" applyBorder="1" applyAlignment="1">
      <alignment horizontal="left" vertical="center"/>
    </xf>
    <xf numFmtId="0" fontId="3" fillId="46" borderId="28" xfId="0" applyFont="1" applyFill="1" applyBorder="1" applyAlignment="1">
      <alignment horizontal="left" vertical="center"/>
    </xf>
    <xf numFmtId="4" fontId="0" fillId="46" borderId="28" xfId="0" applyNumberFormat="1" applyFill="1" applyBorder="1" applyAlignment="1">
      <alignment horizontal="left" vertical="center"/>
    </xf>
    <xf numFmtId="10" fontId="0" fillId="46" borderId="28" xfId="0" applyNumberFormat="1" applyFill="1" applyBorder="1" applyAlignment="1">
      <alignment horizontal="left" vertical="center"/>
    </xf>
    <xf numFmtId="164" fontId="3" fillId="46" borderId="28" xfId="0" applyNumberFormat="1" applyFont="1" applyFill="1" applyBorder="1" applyAlignment="1">
      <alignment horizontal="center" vertical="center"/>
    </xf>
    <xf numFmtId="205" fontId="3" fillId="46" borderId="28" xfId="3209" applyNumberFormat="1" applyFont="1" applyFill="1" applyBorder="1" applyAlignment="1">
      <alignment horizontal="center" vertical="center"/>
    </xf>
    <xf numFmtId="0" fontId="0" fillId="46" borderId="4" xfId="0" applyFill="1" applyBorder="1" applyAlignment="1">
      <alignment horizontal="left" vertical="center"/>
    </xf>
    <xf numFmtId="10" fontId="0" fillId="46" borderId="28" xfId="0" applyNumberFormat="1" applyFill="1" applyBorder="1" applyAlignment="1">
      <alignment horizontal="center" vertical="center"/>
    </xf>
    <xf numFmtId="164" fontId="62" fillId="46" borderId="1" xfId="0" applyNumberFormat="1" applyFont="1" applyFill="1" applyBorder="1" applyAlignment="1">
      <alignment horizontal="right" vertical="center"/>
    </xf>
    <xf numFmtId="164" fontId="62" fillId="3" borderId="1" xfId="0" applyNumberFormat="1" applyFont="1" applyFill="1" applyBorder="1" applyAlignment="1">
      <alignment horizontal="right" vertical="center"/>
    </xf>
    <xf numFmtId="205" fontId="57" fillId="3" borderId="1" xfId="3209" applyNumberFormat="1" applyFont="1" applyFill="1" applyBorder="1" applyAlignment="1">
      <alignment horizontal="center" vertical="center"/>
    </xf>
    <xf numFmtId="0" fontId="49" fillId="3" borderId="0" xfId="703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0" fillId="3" borderId="1" xfId="0" quotePrefix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/>
    <xf numFmtId="2" fontId="6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6" fillId="45" borderId="1" xfId="4" applyFont="1" applyFill="1" applyBorder="1" applyAlignment="1" applyProtection="1">
      <alignment horizontal="center" vertical="center"/>
      <protection locked="0"/>
    </xf>
    <xf numFmtId="4" fontId="56" fillId="45" borderId="3" xfId="4" applyNumberFormat="1" applyFont="1" applyFill="1" applyBorder="1" applyAlignment="1">
      <alignment horizontal="left" vertical="center"/>
    </xf>
    <xf numFmtId="4" fontId="56" fillId="45" borderId="28" xfId="4" applyNumberFormat="1" applyFont="1" applyFill="1" applyBorder="1" applyAlignment="1">
      <alignment horizontal="left" vertical="center"/>
    </xf>
    <xf numFmtId="4" fontId="56" fillId="45" borderId="4" xfId="4" applyNumberFormat="1" applyFont="1" applyFill="1" applyBorder="1" applyAlignment="1">
      <alignment horizontal="left" vertical="center"/>
    </xf>
    <xf numFmtId="4" fontId="56" fillId="45" borderId="3" xfId="4" applyNumberFormat="1" applyFont="1" applyFill="1" applyBorder="1" applyAlignment="1">
      <alignment horizontal="left" vertical="center"/>
    </xf>
    <xf numFmtId="4" fontId="56" fillId="45" borderId="4" xfId="4" applyNumberFormat="1" applyFont="1" applyFill="1" applyBorder="1" applyAlignment="1">
      <alignment horizontal="left" vertical="center"/>
    </xf>
    <xf numFmtId="0" fontId="56" fillId="46" borderId="1" xfId="4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61" fillId="53" borderId="0" xfId="0" applyFont="1" applyFill="1" applyBorder="1" applyAlignment="1">
      <alignment horizontal="center" vertical="center"/>
    </xf>
    <xf numFmtId="0" fontId="61" fillId="53" borderId="31" xfId="0" applyFont="1" applyFill="1" applyBorder="1" applyAlignment="1">
      <alignment horizontal="center" vertical="center"/>
    </xf>
    <xf numFmtId="0" fontId="0" fillId="53" borderId="31" xfId="0" applyFill="1" applyBorder="1" applyAlignment="1">
      <alignment horizontal="left" vertical="center"/>
    </xf>
    <xf numFmtId="0" fontId="0" fillId="53" borderId="28" xfId="0" applyFill="1" applyBorder="1" applyAlignment="1">
      <alignment horizontal="left" vertical="center"/>
    </xf>
    <xf numFmtId="0" fontId="3" fillId="53" borderId="28" xfId="0" applyFont="1" applyFill="1" applyBorder="1" applyAlignment="1">
      <alignment horizontal="left" vertical="center"/>
    </xf>
    <xf numFmtId="0" fontId="3" fillId="53" borderId="28" xfId="0" applyFont="1" applyFill="1" applyBorder="1" applyAlignment="1">
      <alignment horizontal="right" vertical="center"/>
    </xf>
    <xf numFmtId="164" fontId="3" fillId="53" borderId="28" xfId="0" applyNumberFormat="1" applyFont="1" applyFill="1" applyBorder="1" applyAlignment="1">
      <alignment horizontal="center" vertical="center"/>
    </xf>
    <xf numFmtId="205" fontId="3" fillId="53" borderId="28" xfId="3209" applyNumberFormat="1" applyFont="1" applyFill="1" applyBorder="1" applyAlignment="1">
      <alignment horizontal="center" vertical="center"/>
    </xf>
    <xf numFmtId="4" fontId="0" fillId="46" borderId="28" xfId="0" applyNumberFormat="1" applyFill="1" applyBorder="1" applyAlignment="1">
      <alignment horizontal="center" vertical="center"/>
    </xf>
    <xf numFmtId="0" fontId="0" fillId="46" borderId="28" xfId="0" applyFill="1" applyBorder="1" applyAlignment="1">
      <alignment horizontal="center" vertical="center"/>
    </xf>
    <xf numFmtId="0" fontId="0" fillId="46" borderId="31" xfId="0" applyFill="1" applyBorder="1" applyAlignment="1">
      <alignment horizontal="center" vertical="center"/>
    </xf>
    <xf numFmtId="0" fontId="4" fillId="3" borderId="37" xfId="0" applyFont="1" applyFill="1" applyBorder="1"/>
    <xf numFmtId="0" fontId="4" fillId="3" borderId="38" xfId="0" applyFont="1" applyFill="1" applyBorder="1"/>
    <xf numFmtId="0" fontId="4" fillId="3" borderId="36" xfId="0" applyFont="1" applyFill="1" applyBorder="1"/>
    <xf numFmtId="0" fontId="4" fillId="3" borderId="35" xfId="0" applyFont="1" applyFill="1" applyBorder="1"/>
    <xf numFmtId="0" fontId="2" fillId="3" borderId="0" xfId="0" quotePrefix="1" applyFont="1" applyFill="1"/>
    <xf numFmtId="173" fontId="73" fillId="3" borderId="59" xfId="703" applyNumberFormat="1" applyFont="1" applyFill="1" applyBorder="1" applyAlignment="1">
      <alignment horizontal="center" vertical="center" wrapText="1"/>
    </xf>
    <xf numFmtId="10" fontId="73" fillId="49" borderId="60" xfId="70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7" fillId="45" borderId="3" xfId="0" applyFont="1" applyFill="1" applyBorder="1" applyAlignment="1">
      <alignment horizontal="center" vertical="center"/>
    </xf>
    <xf numFmtId="0" fontId="57" fillId="45" borderId="4" xfId="0" applyFont="1" applyFill="1" applyBorder="1" applyAlignment="1">
      <alignment horizontal="right" vertical="center"/>
    </xf>
    <xf numFmtId="164" fontId="57" fillId="45" borderId="1" xfId="0" applyNumberFormat="1" applyFont="1" applyFill="1" applyBorder="1" applyAlignment="1">
      <alignment horizontal="right" vertical="center"/>
    </xf>
    <xf numFmtId="205" fontId="57" fillId="45" borderId="1" xfId="3209" applyNumberFormat="1" applyFont="1" applyFill="1" applyBorder="1" applyAlignment="1">
      <alignment horizontal="center" vertical="center"/>
    </xf>
    <xf numFmtId="0" fontId="4" fillId="45" borderId="28" xfId="0" applyFont="1" applyFill="1" applyBorder="1" applyAlignment="1">
      <alignment horizontal="center" vertical="center"/>
    </xf>
    <xf numFmtId="0" fontId="57" fillId="45" borderId="28" xfId="0" applyFont="1" applyFill="1" applyBorder="1" applyAlignment="1">
      <alignment horizontal="right" vertical="center"/>
    </xf>
    <xf numFmtId="0" fontId="79" fillId="3" borderId="1" xfId="0" applyFont="1" applyFill="1" applyBorder="1" applyAlignment="1">
      <alignment horizontal="left" vertical="center"/>
    </xf>
    <xf numFmtId="10" fontId="33" fillId="0" borderId="1" xfId="703" applyNumberFormat="1" applyFont="1" applyFill="1" applyBorder="1" applyAlignment="1">
      <alignment vertical="center" wrapText="1"/>
    </xf>
    <xf numFmtId="4" fontId="0" fillId="0" borderId="0" xfId="0" applyNumberFormat="1"/>
    <xf numFmtId="0" fontId="0" fillId="0" borderId="0" xfId="0" applyAlignment="1">
      <alignment horizontal="right"/>
    </xf>
    <xf numFmtId="205" fontId="69" fillId="0" borderId="1" xfId="3209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46" borderId="28" xfId="0" applyFont="1" applyFill="1" applyBorder="1" applyAlignment="1">
      <alignment horizontal="left" vertical="center" wrapText="1"/>
    </xf>
    <xf numFmtId="0" fontId="0" fillId="46" borderId="3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justify" vertical="top" wrapText="1"/>
    </xf>
    <xf numFmtId="0" fontId="0" fillId="3" borderId="0" xfId="0" applyFont="1" applyFill="1" applyBorder="1" applyAlignment="1">
      <alignment horizontal="center" vertical="top"/>
    </xf>
    <xf numFmtId="0" fontId="4" fillId="3" borderId="0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center" vertical="top" wrapText="1"/>
    </xf>
    <xf numFmtId="4" fontId="0" fillId="3" borderId="0" xfId="0" applyNumberFormat="1" applyFill="1" applyAlignment="1">
      <alignment horizontal="center" vertical="top" wrapText="1"/>
    </xf>
    <xf numFmtId="4" fontId="0" fillId="3" borderId="0" xfId="1" applyNumberFormat="1" applyFont="1" applyFill="1" applyAlignment="1">
      <alignment horizontal="center" vertical="top"/>
    </xf>
    <xf numFmtId="164" fontId="0" fillId="3" borderId="0" xfId="1" applyNumberFormat="1" applyFont="1" applyFill="1" applyAlignment="1">
      <alignment horizontal="center" vertical="top"/>
    </xf>
    <xf numFmtId="205" fontId="0" fillId="3" borderId="0" xfId="3209" applyNumberFormat="1" applyFont="1" applyFill="1" applyAlignment="1">
      <alignment horizontal="center" vertical="top"/>
    </xf>
    <xf numFmtId="4" fontId="67" fillId="3" borderId="0" xfId="0" applyNumberFormat="1" applyFont="1" applyFill="1" applyAlignment="1">
      <alignment horizontal="center" vertical="top" wrapText="1"/>
    </xf>
    <xf numFmtId="0" fontId="67" fillId="3" borderId="0" xfId="0" applyFont="1" applyFill="1" applyAlignment="1">
      <alignment horizontal="justify" vertical="top" wrapText="1"/>
    </xf>
    <xf numFmtId="0" fontId="67" fillId="3" borderId="0" xfId="0" applyFont="1" applyFill="1" applyAlignment="1">
      <alignment horizontal="left" vertical="top" wrapText="1"/>
    </xf>
    <xf numFmtId="2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164" fontId="0" fillId="3" borderId="1" xfId="1" applyNumberFormat="1" applyFont="1" applyFill="1" applyBorder="1" applyAlignment="1">
      <alignment horizontal="center" vertical="top"/>
    </xf>
    <xf numFmtId="164" fontId="1" fillId="3" borderId="1" xfId="1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right"/>
    </xf>
    <xf numFmtId="2" fontId="0" fillId="3" borderId="1" xfId="0" applyNumberForma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vertical="top"/>
    </xf>
    <xf numFmtId="208" fontId="7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0" xfId="0" quotePrefix="1"/>
    <xf numFmtId="164" fontId="0" fillId="0" borderId="0" xfId="0" applyNumberFormat="1"/>
    <xf numFmtId="0" fontId="83" fillId="39" borderId="63" xfId="0" applyFont="1" applyFill="1" applyBorder="1" applyAlignment="1">
      <alignment horizontal="center" vertical="center" wrapText="1"/>
    </xf>
    <xf numFmtId="0" fontId="83" fillId="39" borderId="1" xfId="0" applyFont="1" applyFill="1" applyBorder="1" applyAlignment="1">
      <alignment horizontal="center" vertical="center" wrapText="1"/>
    </xf>
    <xf numFmtId="0" fontId="83" fillId="39" borderId="64" xfId="0" applyFont="1" applyFill="1" applyBorder="1" applyAlignment="1">
      <alignment horizontal="center" vertical="center" wrapText="1"/>
    </xf>
    <xf numFmtId="0" fontId="84" fillId="39" borderId="65" xfId="3460" applyFont="1" applyFill="1" applyBorder="1" applyAlignment="1">
      <alignment horizontal="center" vertical="center" wrapText="1"/>
    </xf>
    <xf numFmtId="1" fontId="84" fillId="39" borderId="66" xfId="3460" applyNumberFormat="1" applyFont="1" applyFill="1" applyBorder="1" applyAlignment="1">
      <alignment horizontal="center" vertical="center" wrapText="1"/>
    </xf>
    <xf numFmtId="1" fontId="84" fillId="39" borderId="65" xfId="3460" applyNumberFormat="1" applyFont="1" applyFill="1" applyBorder="1" applyAlignment="1">
      <alignment horizontal="center" vertical="center" wrapText="1"/>
    </xf>
    <xf numFmtId="0" fontId="83" fillId="39" borderId="67" xfId="0" applyFont="1" applyFill="1" applyBorder="1" applyAlignment="1">
      <alignment horizontal="center" vertical="center" wrapText="1"/>
    </xf>
    <xf numFmtId="1" fontId="84" fillId="39" borderId="68" xfId="3460" applyNumberFormat="1" applyFont="1" applyFill="1" applyBorder="1" applyAlignment="1">
      <alignment horizontal="center" vertical="center" wrapText="1"/>
    </xf>
    <xf numFmtId="0" fontId="85" fillId="0" borderId="5" xfId="0" applyFont="1" applyBorder="1" applyAlignment="1">
      <alignment horizontal="center" vertical="center" wrapText="1"/>
    </xf>
    <xf numFmtId="0" fontId="6" fillId="0" borderId="5" xfId="3460" applyFont="1" applyBorder="1" applyAlignment="1">
      <alignment horizontal="center" vertical="center" wrapText="1"/>
    </xf>
    <xf numFmtId="0" fontId="6" fillId="0" borderId="5" xfId="3460" applyFont="1" applyFill="1" applyBorder="1" applyAlignment="1">
      <alignment horizontal="center" vertical="center" wrapText="1"/>
    </xf>
    <xf numFmtId="208" fontId="66" fillId="0" borderId="1" xfId="0" applyNumberFormat="1" applyFont="1" applyFill="1" applyBorder="1" applyAlignment="1">
      <alignment horizontal="center" vertical="center"/>
    </xf>
    <xf numFmtId="4" fontId="86" fillId="0" borderId="1" xfId="3460" quotePrefix="1" applyNumberFormat="1" applyFont="1" applyBorder="1" applyAlignment="1">
      <alignment horizontal="center" vertical="center"/>
    </xf>
    <xf numFmtId="2" fontId="87" fillId="0" borderId="1" xfId="0" applyNumberFormat="1" applyFont="1" applyBorder="1" applyAlignment="1">
      <alignment horizontal="center" vertical="center"/>
    </xf>
    <xf numFmtId="4" fontId="86" fillId="54" borderId="1" xfId="3460" quotePrefix="1" applyNumberFormat="1" applyFont="1" applyFill="1" applyBorder="1" applyAlignment="1">
      <alignment horizontal="center" vertical="center"/>
    </xf>
    <xf numFmtId="0" fontId="6" fillId="38" borderId="5" xfId="0" applyFont="1" applyFill="1" applyBorder="1" applyAlignment="1">
      <alignment horizontal="center" vertical="center"/>
    </xf>
    <xf numFmtId="2" fontId="87" fillId="0" borderId="5" xfId="0" applyNumberFormat="1" applyFont="1" applyBorder="1" applyAlignment="1">
      <alignment horizontal="center" vertical="center"/>
    </xf>
    <xf numFmtId="2" fontId="87" fillId="54" borderId="5" xfId="0" applyNumberFormat="1" applyFont="1" applyFill="1" applyBorder="1" applyAlignment="1">
      <alignment horizontal="center" vertical="center"/>
    </xf>
    <xf numFmtId="2" fontId="87" fillId="38" borderId="5" xfId="0" applyNumberFormat="1" applyFont="1" applyFill="1" applyBorder="1" applyAlignment="1">
      <alignment horizontal="center" vertical="center"/>
    </xf>
    <xf numFmtId="211" fontId="87" fillId="0" borderId="5" xfId="0" applyNumberFormat="1" applyFont="1" applyBorder="1" applyAlignment="1">
      <alignment horizontal="center" vertical="center"/>
    </xf>
    <xf numFmtId="40" fontId="87" fillId="0" borderId="1" xfId="0" applyNumberFormat="1" applyFont="1" applyBorder="1" applyAlignment="1">
      <alignment horizontal="center" vertical="center"/>
    </xf>
    <xf numFmtId="40" fontId="87" fillId="0" borderId="69" xfId="0" applyNumberFormat="1" applyFont="1" applyBorder="1" applyAlignment="1">
      <alignment horizontal="center" vertical="center"/>
    </xf>
    <xf numFmtId="0" fontId="84" fillId="39" borderId="33" xfId="3460" applyFont="1" applyFill="1" applyBorder="1" applyAlignment="1">
      <alignment horizontal="center" vertical="center" wrapText="1"/>
    </xf>
    <xf numFmtId="0" fontId="88" fillId="39" borderId="70" xfId="0" applyFont="1" applyFill="1" applyBorder="1" applyAlignment="1">
      <alignment horizontal="center" vertical="center" wrapText="1"/>
    </xf>
    <xf numFmtId="0" fontId="88" fillId="39" borderId="73" xfId="0" applyFont="1" applyFill="1" applyBorder="1" applyAlignment="1">
      <alignment horizontal="center" vertical="center" wrapText="1"/>
    </xf>
    <xf numFmtId="0" fontId="88" fillId="39" borderId="72" xfId="0" applyFont="1" applyFill="1" applyBorder="1" applyAlignment="1">
      <alignment horizontal="center" vertical="center" wrapText="1"/>
    </xf>
    <xf numFmtId="0" fontId="89" fillId="0" borderId="0" xfId="0" applyFont="1"/>
    <xf numFmtId="0" fontId="85" fillId="0" borderId="1" xfId="0" applyFont="1" applyBorder="1" applyAlignment="1">
      <alignment horizontal="center" vertical="center" wrapText="1"/>
    </xf>
    <xf numFmtId="0" fontId="6" fillId="0" borderId="1" xfId="3460" applyFont="1" applyBorder="1" applyAlignment="1">
      <alignment horizontal="center" vertical="center" wrapText="1"/>
    </xf>
    <xf numFmtId="0" fontId="6" fillId="0" borderId="1" xfId="3460" applyFont="1" applyFill="1" applyBorder="1" applyAlignment="1">
      <alignment horizontal="center" vertical="center" wrapText="1"/>
    </xf>
    <xf numFmtId="0" fontId="6" fillId="38" borderId="1" xfId="0" applyFont="1" applyFill="1" applyBorder="1" applyAlignment="1">
      <alignment horizontal="center" vertical="center"/>
    </xf>
    <xf numFmtId="2" fontId="87" fillId="38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0" xfId="0"/>
    <xf numFmtId="0" fontId="66" fillId="0" borderId="1" xfId="0" applyFont="1" applyBorder="1"/>
    <xf numFmtId="0" fontId="83" fillId="38" borderId="1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vertical="center"/>
    </xf>
    <xf numFmtId="0" fontId="66" fillId="0" borderId="1" xfId="0" applyFont="1" applyBorder="1" applyAlignment="1">
      <alignment horizontal="center"/>
    </xf>
    <xf numFmtId="10" fontId="66" fillId="52" borderId="1" xfId="3209" applyNumberFormat="1" applyFont="1" applyFill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66" fillId="0" borderId="5" xfId="0" applyFont="1" applyBorder="1"/>
    <xf numFmtId="17" fontId="66" fillId="0" borderId="5" xfId="0" applyNumberFormat="1" applyFont="1" applyBorder="1" applyAlignment="1">
      <alignment horizontal="center"/>
    </xf>
    <xf numFmtId="0" fontId="66" fillId="52" borderId="5" xfId="0" applyFont="1" applyFill="1" applyBorder="1" applyAlignment="1">
      <alignment horizontal="center"/>
    </xf>
    <xf numFmtId="0" fontId="66" fillId="0" borderId="79" xfId="0" applyFont="1" applyBorder="1" applyAlignment="1">
      <alignment horizontal="center"/>
    </xf>
    <xf numFmtId="10" fontId="66" fillId="52" borderId="79" xfId="3209" applyNumberFormat="1" applyFont="1" applyFill="1" applyBorder="1" applyAlignment="1">
      <alignment horizontal="center"/>
    </xf>
    <xf numFmtId="4" fontId="66" fillId="0" borderId="0" xfId="0" applyNumberFormat="1" applyFont="1" applyBorder="1" applyAlignment="1">
      <alignment horizontal="center"/>
    </xf>
    <xf numFmtId="0" fontId="66" fillId="0" borderId="79" xfId="0" applyFont="1" applyBorder="1"/>
    <xf numFmtId="3" fontId="66" fillId="0" borderId="79" xfId="0" applyNumberFormat="1" applyFont="1" applyBorder="1"/>
    <xf numFmtId="17" fontId="83" fillId="38" borderId="79" xfId="0" applyNumberFormat="1" applyFont="1" applyFill="1" applyBorder="1" applyAlignment="1">
      <alignment horizontal="center"/>
    </xf>
    <xf numFmtId="0" fontId="66" fillId="38" borderId="5" xfId="0" applyFont="1" applyFill="1" applyBorder="1" applyAlignment="1">
      <alignment horizontal="center"/>
    </xf>
    <xf numFmtId="9" fontId="66" fillId="52" borderId="79" xfId="3209" applyFont="1" applyFill="1" applyBorder="1" applyAlignment="1">
      <alignment horizontal="center"/>
    </xf>
    <xf numFmtId="2" fontId="66" fillId="0" borderId="0" xfId="3209" applyNumberFormat="1" applyFont="1" applyBorder="1" applyAlignment="1">
      <alignment horizontal="center"/>
    </xf>
    <xf numFmtId="0" fontId="66" fillId="0" borderId="83" xfId="0" applyFont="1" applyBorder="1" applyAlignment="1">
      <alignment horizontal="center"/>
    </xf>
    <xf numFmtId="0" fontId="66" fillId="52" borderId="83" xfId="0" applyFont="1" applyFill="1" applyBorder="1"/>
    <xf numFmtId="2" fontId="87" fillId="0" borderId="0" xfId="0" applyNumberFormat="1" applyFont="1" applyFill="1" applyBorder="1" applyAlignment="1">
      <alignment horizontal="center" vertical="center"/>
    </xf>
    <xf numFmtId="0" fontId="76" fillId="3" borderId="0" xfId="0" applyFont="1" applyFill="1"/>
    <xf numFmtId="0" fontId="76" fillId="2" borderId="0" xfId="0" applyFont="1" applyFill="1"/>
    <xf numFmtId="0" fontId="72" fillId="2" borderId="25" xfId="3207" applyNumberFormat="1" applyFont="1" applyFill="1" applyBorder="1" applyAlignment="1">
      <alignment horizontal="center" vertical="center" wrapText="1"/>
    </xf>
    <xf numFmtId="0" fontId="92" fillId="2" borderId="25" xfId="0" applyFont="1" applyFill="1" applyBorder="1" applyAlignment="1">
      <alignment vertical="center"/>
    </xf>
    <xf numFmtId="0" fontId="71" fillId="2" borderId="25" xfId="0" applyFont="1" applyFill="1" applyBorder="1"/>
    <xf numFmtId="0" fontId="72" fillId="52" borderId="3" xfId="3207" applyNumberFormat="1" applyFont="1" applyFill="1" applyBorder="1" applyAlignment="1">
      <alignment horizontal="center" vertical="center" wrapText="1"/>
    </xf>
    <xf numFmtId="0" fontId="72" fillId="52" borderId="62" xfId="3207" applyNumberFormat="1" applyFont="1" applyFill="1" applyBorder="1" applyAlignment="1">
      <alignment horizontal="left" vertical="center" wrapText="1"/>
    </xf>
    <xf numFmtId="0" fontId="72" fillId="52" borderId="62" xfId="3207" applyNumberFormat="1" applyFont="1" applyFill="1" applyBorder="1" applyAlignment="1">
      <alignment horizontal="center" vertical="center" wrapText="1"/>
    </xf>
    <xf numFmtId="0" fontId="72" fillId="52" borderId="62" xfId="3207" applyFont="1" applyFill="1" applyBorder="1" applyAlignment="1">
      <alignment horizontal="left" vertical="center"/>
    </xf>
    <xf numFmtId="0" fontId="93" fillId="52" borderId="62" xfId="3207" applyFont="1" applyFill="1" applyBorder="1"/>
    <xf numFmtId="0" fontId="72" fillId="52" borderId="4" xfId="3207" applyFont="1" applyFill="1" applyBorder="1" applyAlignment="1">
      <alignment horizontal="right" vertical="center"/>
    </xf>
    <xf numFmtId="0" fontId="76" fillId="0" borderId="1" xfId="0" applyFont="1" applyFill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/>
    </xf>
    <xf numFmtId="0" fontId="76" fillId="0" borderId="1" xfId="0" applyFont="1" applyBorder="1" applyAlignment="1">
      <alignment horizontal="left" vertical="center" wrapText="1"/>
    </xf>
    <xf numFmtId="2" fontId="76" fillId="0" borderId="1" xfId="0" applyNumberFormat="1" applyFont="1" applyBorder="1" applyAlignment="1">
      <alignment horizontal="center" vertical="center"/>
    </xf>
    <xf numFmtId="208" fontId="76" fillId="0" borderId="1" xfId="0" applyNumberFormat="1" applyFont="1" applyBorder="1" applyAlignment="1">
      <alignment horizontal="center" vertical="center"/>
    </xf>
    <xf numFmtId="203" fontId="76" fillId="0" borderId="1" xfId="0" applyNumberFormat="1" applyFont="1" applyBorder="1" applyAlignment="1">
      <alignment horizontal="center" vertical="center"/>
    </xf>
    <xf numFmtId="2" fontId="76" fillId="0" borderId="1" xfId="0" applyNumberFormat="1" applyFont="1" applyFill="1" applyBorder="1" applyAlignment="1">
      <alignment horizontal="center" vertical="center"/>
    </xf>
    <xf numFmtId="0" fontId="76" fillId="3" borderId="1" xfId="0" applyFont="1" applyFill="1" applyBorder="1" applyAlignment="1">
      <alignment horizontal="left" vertical="center" wrapText="1"/>
    </xf>
    <xf numFmtId="0" fontId="76" fillId="0" borderId="1" xfId="0" applyFont="1" applyFill="1" applyBorder="1" applyAlignment="1">
      <alignment horizontal="center" vertical="center"/>
    </xf>
    <xf numFmtId="208" fontId="76" fillId="0" borderId="1" xfId="0" applyNumberFormat="1" applyFont="1" applyFill="1" applyBorder="1" applyAlignment="1">
      <alignment horizontal="center" vertical="center"/>
    </xf>
    <xf numFmtId="0" fontId="72" fillId="52" borderId="57" xfId="3207" applyNumberFormat="1" applyFont="1" applyFill="1" applyBorder="1" applyAlignment="1">
      <alignment horizontal="center" vertical="center" wrapText="1"/>
    </xf>
    <xf numFmtId="0" fontId="72" fillId="52" borderId="25" xfId="3207" applyNumberFormat="1" applyFont="1" applyFill="1" applyBorder="1" applyAlignment="1">
      <alignment horizontal="left" vertical="center" wrapText="1"/>
    </xf>
    <xf numFmtId="0" fontId="72" fillId="52" borderId="25" xfId="3207" applyNumberFormat="1" applyFont="1" applyFill="1" applyBorder="1" applyAlignment="1">
      <alignment horizontal="center" vertical="center" wrapText="1"/>
    </xf>
    <xf numFmtId="0" fontId="72" fillId="52" borderId="25" xfId="3207" applyFont="1" applyFill="1" applyBorder="1" applyAlignment="1">
      <alignment horizontal="left" vertical="center"/>
    </xf>
    <xf numFmtId="0" fontId="93" fillId="52" borderId="25" xfId="3207" applyFont="1" applyFill="1" applyBorder="1"/>
    <xf numFmtId="0" fontId="72" fillId="52" borderId="24" xfId="3207" applyFont="1" applyFill="1" applyBorder="1" applyAlignment="1">
      <alignment horizontal="right" vertical="center"/>
    </xf>
    <xf numFmtId="0" fontId="76" fillId="3" borderId="1" xfId="0" applyFont="1" applyFill="1" applyBorder="1" applyAlignment="1">
      <alignment horizontal="center" vertical="center" wrapText="1"/>
    </xf>
    <xf numFmtId="2" fontId="76" fillId="3" borderId="1" xfId="0" applyNumberFormat="1" applyFont="1" applyFill="1" applyBorder="1" applyAlignment="1">
      <alignment horizontal="center" vertical="center"/>
    </xf>
    <xf numFmtId="0" fontId="76" fillId="3" borderId="1" xfId="0" applyFont="1" applyFill="1" applyBorder="1" applyAlignment="1">
      <alignment horizontal="center" vertical="center"/>
    </xf>
    <xf numFmtId="208" fontId="76" fillId="3" borderId="1" xfId="0" applyNumberFormat="1" applyFont="1" applyFill="1" applyBorder="1" applyAlignment="1">
      <alignment horizontal="center" vertical="center"/>
    </xf>
    <xf numFmtId="203" fontId="76" fillId="3" borderId="1" xfId="0" applyNumberFormat="1" applyFont="1" applyFill="1" applyBorder="1" applyAlignment="1">
      <alignment horizontal="center" vertical="center"/>
    </xf>
    <xf numFmtId="203" fontId="76" fillId="0" borderId="1" xfId="0" applyNumberFormat="1" applyFont="1" applyFill="1" applyBorder="1" applyAlignment="1">
      <alignment horizontal="center" vertical="center"/>
    </xf>
    <xf numFmtId="0" fontId="76" fillId="0" borderId="61" xfId="0" applyFont="1" applyFill="1" applyBorder="1" applyAlignment="1">
      <alignment horizontal="center" vertical="center" wrapText="1"/>
    </xf>
    <xf numFmtId="208" fontId="76" fillId="0" borderId="61" xfId="0" applyNumberFormat="1" applyFont="1" applyFill="1" applyBorder="1" applyAlignment="1">
      <alignment horizontal="center" vertical="center"/>
    </xf>
    <xf numFmtId="0" fontId="72" fillId="2" borderId="0" xfId="3207" applyNumberFormat="1" applyFont="1" applyFill="1" applyBorder="1" applyAlignment="1">
      <alignment horizontal="center" vertical="center" wrapText="1"/>
    </xf>
    <xf numFmtId="0" fontId="92" fillId="2" borderId="0" xfId="0" applyFont="1" applyFill="1" applyBorder="1" applyAlignment="1">
      <alignment vertical="center"/>
    </xf>
    <xf numFmtId="0" fontId="71" fillId="2" borderId="0" xfId="0" applyFont="1" applyFill="1" applyBorder="1"/>
    <xf numFmtId="0" fontId="72" fillId="52" borderId="1" xfId="3207" applyNumberFormat="1" applyFont="1" applyFill="1" applyBorder="1" applyAlignment="1">
      <alignment horizontal="center" vertical="center" wrapText="1"/>
    </xf>
    <xf numFmtId="0" fontId="72" fillId="52" borderId="1" xfId="3207" applyNumberFormat="1" applyFont="1" applyFill="1" applyBorder="1" applyAlignment="1">
      <alignment horizontal="left" vertical="center" wrapText="1"/>
    </xf>
    <xf numFmtId="0" fontId="72" fillId="52" borderId="1" xfId="3207" applyFont="1" applyFill="1" applyBorder="1" applyAlignment="1">
      <alignment horizontal="left" vertical="center"/>
    </xf>
    <xf numFmtId="0" fontId="93" fillId="52" borderId="1" xfId="3207" applyFont="1" applyFill="1" applyBorder="1"/>
    <xf numFmtId="0" fontId="72" fillId="52" borderId="1" xfId="3207" applyFont="1" applyFill="1" applyBorder="1" applyAlignment="1">
      <alignment horizontal="right" vertical="center"/>
    </xf>
    <xf numFmtId="0" fontId="76" fillId="2" borderId="58" xfId="0" applyFont="1" applyFill="1" applyBorder="1"/>
    <xf numFmtId="208" fontId="76" fillId="3" borderId="61" xfId="0" applyNumberFormat="1" applyFont="1" applyFill="1" applyBorder="1" applyAlignment="1">
      <alignment horizontal="center" vertical="center"/>
    </xf>
    <xf numFmtId="0" fontId="0" fillId="0" borderId="0" xfId="0"/>
    <xf numFmtId="0" fontId="0" fillId="3" borderId="1" xfId="0" quotePrefix="1" applyFill="1" applyBorder="1" applyAlignment="1">
      <alignment horizontal="left" vertical="center"/>
    </xf>
    <xf numFmtId="0" fontId="3" fillId="46" borderId="31" xfId="0" quotePrefix="1" applyFont="1" applyFill="1" applyBorder="1" applyAlignment="1">
      <alignment horizontal="center" vertical="center"/>
    </xf>
    <xf numFmtId="0" fontId="94" fillId="46" borderId="1" xfId="4" applyFont="1" applyFill="1" applyBorder="1" applyAlignment="1" applyProtection="1">
      <alignment horizontal="center" vertical="center"/>
      <protection locked="0"/>
    </xf>
    <xf numFmtId="0" fontId="95" fillId="0" borderId="77" xfId="0" applyFont="1" applyBorder="1" applyAlignment="1">
      <alignment horizontal="center" vertical="center"/>
    </xf>
    <xf numFmtId="0" fontId="95" fillId="0" borderId="76" xfId="0" applyFont="1" applyBorder="1" applyAlignment="1">
      <alignment horizontal="center" vertical="center"/>
    </xf>
    <xf numFmtId="0" fontId="95" fillId="0" borderId="0" xfId="0" applyFont="1" applyBorder="1"/>
    <xf numFmtId="0" fontId="95" fillId="0" borderId="62" xfId="0" applyFont="1" applyBorder="1" applyAlignment="1">
      <alignment horizontal="center" vertical="center"/>
    </xf>
    <xf numFmtId="0" fontId="96" fillId="0" borderId="77" xfId="0" applyFont="1" applyBorder="1" applyAlignment="1">
      <alignment horizontal="center" vertical="center"/>
    </xf>
    <xf numFmtId="0" fontId="96" fillId="0" borderId="0" xfId="0" applyFont="1" applyBorder="1"/>
    <xf numFmtId="2" fontId="96" fillId="0" borderId="62" xfId="0" applyNumberFormat="1" applyFont="1" applyBorder="1" applyAlignment="1">
      <alignment horizontal="center" vertical="center"/>
    </xf>
    <xf numFmtId="0" fontId="96" fillId="0" borderId="0" xfId="0" applyFont="1"/>
    <xf numFmtId="0" fontId="96" fillId="0" borderId="0" xfId="0" applyFont="1" applyBorder="1" applyAlignment="1"/>
    <xf numFmtId="2" fontId="96" fillId="0" borderId="84" xfId="0" applyNumberFormat="1" applyFont="1" applyBorder="1" applyAlignment="1">
      <alignment horizontal="center" vertical="center"/>
    </xf>
    <xf numFmtId="0" fontId="96" fillId="0" borderId="84" xfId="0" applyFont="1" applyBorder="1" applyAlignment="1">
      <alignment horizontal="right" wrapText="1"/>
    </xf>
    <xf numFmtId="9" fontId="96" fillId="0" borderId="84" xfId="0" applyNumberFormat="1" applyFont="1" applyBorder="1" applyAlignment="1">
      <alignment horizontal="left" vertical="center" wrapText="1"/>
    </xf>
    <xf numFmtId="0" fontId="96" fillId="0" borderId="84" xfId="0" applyFont="1" applyBorder="1" applyAlignment="1">
      <alignment horizontal="center"/>
    </xf>
    <xf numFmtId="2" fontId="96" fillId="0" borderId="84" xfId="0" applyNumberFormat="1" applyFont="1" applyBorder="1" applyAlignment="1"/>
    <xf numFmtId="9" fontId="96" fillId="0" borderId="84" xfId="0" applyNumberFormat="1" applyFont="1" applyBorder="1" applyAlignment="1">
      <alignment horizontal="left" wrapText="1"/>
    </xf>
    <xf numFmtId="0" fontId="95" fillId="0" borderId="0" xfId="0" applyFont="1" applyFill="1" applyAlignment="1">
      <alignment horizontal="center"/>
    </xf>
    <xf numFmtId="2" fontId="96" fillId="0" borderId="76" xfId="0" applyNumberFormat="1" applyFont="1" applyBorder="1" applyAlignment="1">
      <alignment horizontal="center" vertical="center"/>
    </xf>
    <xf numFmtId="0" fontId="96" fillId="0" borderId="77" xfId="0" applyFont="1" applyBorder="1"/>
    <xf numFmtId="0" fontId="96" fillId="0" borderId="62" xfId="0" applyFont="1" applyBorder="1"/>
    <xf numFmtId="2" fontId="96" fillId="0" borderId="0" xfId="0" applyNumberFormat="1" applyFont="1" applyBorder="1" applyAlignment="1">
      <alignment horizontal="center" vertical="center"/>
    </xf>
    <xf numFmtId="0" fontId="95" fillId="0" borderId="77" xfId="0" applyFont="1" applyBorder="1"/>
    <xf numFmtId="0" fontId="95" fillId="0" borderId="62" xfId="0" applyFont="1" applyBorder="1"/>
    <xf numFmtId="4" fontId="96" fillId="0" borderId="76" xfId="0" applyNumberFormat="1" applyFont="1" applyBorder="1" applyAlignment="1">
      <alignment horizontal="center" vertical="center"/>
    </xf>
    <xf numFmtId="4" fontId="96" fillId="0" borderId="0" xfId="0" applyNumberFormat="1" applyFont="1" applyBorder="1" applyAlignment="1">
      <alignment horizontal="center" vertical="center"/>
    </xf>
    <xf numFmtId="0" fontId="96" fillId="0" borderId="62" xfId="0" applyFont="1" applyBorder="1" applyAlignment="1">
      <alignment horizontal="left" vertical="center" wrapText="1"/>
    </xf>
    <xf numFmtId="2" fontId="96" fillId="0" borderId="62" xfId="0" applyNumberFormat="1" applyFont="1" applyBorder="1" applyAlignment="1">
      <alignment horizontal="right" vertical="center"/>
    </xf>
    <xf numFmtId="9" fontId="96" fillId="0" borderId="62" xfId="0" applyNumberFormat="1" applyFont="1" applyBorder="1" applyAlignment="1">
      <alignment horizontal="left" vertical="center" wrapText="1"/>
    </xf>
    <xf numFmtId="0" fontId="97" fillId="0" borderId="85" xfId="0" applyFont="1" applyBorder="1"/>
    <xf numFmtId="0" fontId="97" fillId="0" borderId="86" xfId="0" applyFont="1" applyBorder="1"/>
    <xf numFmtId="0" fontId="97" fillId="0" borderId="84" xfId="0" applyFont="1" applyBorder="1"/>
    <xf numFmtId="4" fontId="97" fillId="0" borderId="84" xfId="0" applyNumberFormat="1" applyFont="1" applyBorder="1" applyAlignment="1">
      <alignment horizontal="center"/>
    </xf>
    <xf numFmtId="0" fontId="97" fillId="0" borderId="84" xfId="0" applyFont="1" applyBorder="1" applyAlignment="1"/>
    <xf numFmtId="0" fontId="96" fillId="0" borderId="34" xfId="0" applyFont="1" applyBorder="1" applyAlignment="1">
      <alignment horizontal="left" wrapText="1"/>
    </xf>
    <xf numFmtId="9" fontId="96" fillId="0" borderId="34" xfId="0" applyNumberFormat="1" applyFont="1" applyBorder="1" applyAlignment="1">
      <alignment horizontal="left" vertical="center" wrapText="1"/>
    </xf>
    <xf numFmtId="2" fontId="96" fillId="0" borderId="0" xfId="0" applyNumberFormat="1" applyFont="1" applyAlignment="1">
      <alignment horizontal="center"/>
    </xf>
    <xf numFmtId="2" fontId="96" fillId="0" borderId="0" xfId="0" applyNumberFormat="1" applyFont="1" applyAlignment="1">
      <alignment horizontal="left"/>
    </xf>
    <xf numFmtId="0" fontId="96" fillId="0" borderId="0" xfId="0" applyFont="1" applyAlignment="1"/>
    <xf numFmtId="2" fontId="96" fillId="0" borderId="0" xfId="0" applyNumberFormat="1" applyFont="1" applyAlignment="1"/>
    <xf numFmtId="0" fontId="0" fillId="0" borderId="0" xfId="0" applyBorder="1" applyAlignment="1"/>
    <xf numFmtId="2" fontId="96" fillId="0" borderId="62" xfId="0" applyNumberFormat="1" applyFont="1" applyBorder="1" applyAlignment="1"/>
    <xf numFmtId="2" fontId="96" fillId="0" borderId="0" xfId="0" applyNumberFormat="1" applyFont="1" applyBorder="1" applyAlignment="1">
      <alignment horizontal="center"/>
    </xf>
    <xf numFmtId="10" fontId="96" fillId="0" borderId="77" xfId="3209" applyNumberFormat="1" applyFont="1" applyBorder="1" applyAlignment="1">
      <alignment horizontal="center"/>
    </xf>
    <xf numFmtId="2" fontId="96" fillId="0" borderId="0" xfId="0" applyNumberFormat="1" applyFont="1" applyFill="1" applyBorder="1" applyAlignment="1"/>
    <xf numFmtId="0" fontId="96" fillId="0" borderId="34" xfId="0" applyFont="1" applyBorder="1" applyAlignment="1">
      <alignment horizontal="center" vertical="center" wrapText="1"/>
    </xf>
    <xf numFmtId="9" fontId="96" fillId="0" borderId="84" xfId="0" applyNumberFormat="1" applyFont="1" applyBorder="1" applyAlignment="1">
      <alignment horizontal="center" vertical="center"/>
    </xf>
    <xf numFmtId="2" fontId="95" fillId="0" borderId="0" xfId="0" applyNumberFormat="1" applyFont="1" applyAlignment="1">
      <alignment horizontal="left"/>
    </xf>
    <xf numFmtId="0" fontId="3" fillId="46" borderId="62" xfId="0" applyFont="1" applyFill="1" applyBorder="1" applyAlignment="1">
      <alignment horizontal="left" vertical="center"/>
    </xf>
    <xf numFmtId="0" fontId="0" fillId="46" borderId="62" xfId="0" applyFill="1" applyBorder="1" applyAlignment="1">
      <alignment horizontal="left" vertical="center"/>
    </xf>
    <xf numFmtId="4" fontId="0" fillId="46" borderId="62" xfId="0" applyNumberFormat="1" applyFill="1" applyBorder="1" applyAlignment="1">
      <alignment horizontal="left" vertical="center"/>
    </xf>
    <xf numFmtId="10" fontId="0" fillId="46" borderId="62" xfId="0" applyNumberFormat="1" applyFill="1" applyBorder="1" applyAlignment="1">
      <alignment horizontal="left" vertical="center"/>
    </xf>
    <xf numFmtId="164" fontId="3" fillId="46" borderId="62" xfId="0" applyNumberFormat="1" applyFont="1" applyFill="1" applyBorder="1" applyAlignment="1">
      <alignment horizontal="center" vertical="center"/>
    </xf>
    <xf numFmtId="205" fontId="3" fillId="46" borderId="62" xfId="3209" applyNumberFormat="1" applyFont="1" applyFill="1" applyBorder="1" applyAlignment="1">
      <alignment horizontal="center" vertical="center"/>
    </xf>
    <xf numFmtId="0" fontId="3" fillId="46" borderId="62" xfId="0" applyFont="1" applyFill="1" applyBorder="1" applyAlignment="1">
      <alignment horizontal="center" vertical="center"/>
    </xf>
    <xf numFmtId="0" fontId="64" fillId="0" borderId="83" xfId="0" applyFont="1" applyBorder="1" applyAlignment="1">
      <alignment horizontal="center" vertical="center"/>
    </xf>
    <xf numFmtId="0" fontId="64" fillId="0" borderId="81" xfId="0" applyFont="1" applyBorder="1" applyAlignment="1">
      <alignment horizontal="center" vertical="center"/>
    </xf>
    <xf numFmtId="9" fontId="64" fillId="0" borderId="87" xfId="0" applyNumberFormat="1" applyFont="1" applyBorder="1" applyAlignment="1">
      <alignment horizontal="center" vertical="center"/>
    </xf>
    <xf numFmtId="9" fontId="64" fillId="0" borderId="36" xfId="0" applyNumberFormat="1" applyFont="1" applyBorder="1" applyAlignment="1">
      <alignment horizontal="center" vertical="center"/>
    </xf>
    <xf numFmtId="4" fontId="97" fillId="0" borderId="0" xfId="0" applyNumberFormat="1" applyFont="1"/>
    <xf numFmtId="164" fontId="0" fillId="3" borderId="0" xfId="0" applyNumberFormat="1" applyFill="1"/>
    <xf numFmtId="0" fontId="3" fillId="45" borderId="62" xfId="0" applyFont="1" applyFill="1" applyBorder="1" applyAlignment="1">
      <alignment horizontal="center" vertical="center"/>
    </xf>
    <xf numFmtId="0" fontId="0" fillId="45" borderId="62" xfId="0" applyFill="1" applyBorder="1" applyAlignment="1">
      <alignment horizontal="left" vertical="center"/>
    </xf>
    <xf numFmtId="0" fontId="3" fillId="45" borderId="62" xfId="0" applyFont="1" applyFill="1" applyBorder="1" applyAlignment="1">
      <alignment horizontal="left" vertical="center"/>
    </xf>
    <xf numFmtId="4" fontId="0" fillId="45" borderId="62" xfId="0" applyNumberFormat="1" applyFill="1" applyBorder="1" applyAlignment="1">
      <alignment horizontal="left" vertical="center"/>
    </xf>
    <xf numFmtId="204" fontId="0" fillId="45" borderId="62" xfId="0" applyNumberFormat="1" applyFill="1" applyBorder="1" applyAlignment="1">
      <alignment horizontal="left" vertical="center"/>
    </xf>
    <xf numFmtId="164" fontId="3" fillId="45" borderId="62" xfId="0" applyNumberFormat="1" applyFont="1" applyFill="1" applyBorder="1" applyAlignment="1">
      <alignment horizontal="center" vertical="center"/>
    </xf>
    <xf numFmtId="205" fontId="3" fillId="45" borderId="62" xfId="3209" applyNumberFormat="1" applyFont="1" applyFill="1" applyBorder="1" applyAlignment="1">
      <alignment horizontal="center" vertical="center"/>
    </xf>
    <xf numFmtId="0" fontId="67" fillId="0" borderId="1" xfId="0" quotePrefix="1" applyFont="1" applyFill="1" applyBorder="1" applyAlignment="1">
      <alignment vertical="center"/>
    </xf>
    <xf numFmtId="0" fontId="67" fillId="0" borderId="1" xfId="0" applyFont="1" applyFill="1" applyBorder="1" applyAlignment="1">
      <alignment vertical="center"/>
    </xf>
    <xf numFmtId="0" fontId="67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7" fillId="0" borderId="1" xfId="0" applyFont="1" applyFill="1" applyBorder="1"/>
    <xf numFmtId="0" fontId="67" fillId="0" borderId="0" xfId="0" applyFont="1" applyFill="1"/>
    <xf numFmtId="0" fontId="67" fillId="0" borderId="1" xfId="0" applyFont="1" applyFill="1" applyBorder="1" applyAlignment="1">
      <alignment horizontal="center"/>
    </xf>
    <xf numFmtId="0" fontId="67" fillId="0" borderId="1" xfId="0" applyFont="1" applyFill="1" applyBorder="1" applyAlignment="1">
      <alignment horizontal="left" vertical="center"/>
    </xf>
    <xf numFmtId="2" fontId="100" fillId="0" borderId="84" xfId="0" applyNumberFormat="1" applyFont="1" applyBorder="1" applyAlignment="1">
      <alignment horizontal="center" vertical="center"/>
    </xf>
    <xf numFmtId="0" fontId="33" fillId="56" borderId="1" xfId="0" applyFont="1" applyFill="1" applyBorder="1" applyAlignment="1">
      <alignment horizontal="center" vertical="center" wrapText="1"/>
    </xf>
    <xf numFmtId="2" fontId="6" fillId="56" borderId="1" xfId="0" quotePrefix="1" applyNumberFormat="1" applyFont="1" applyFill="1" applyBorder="1" applyAlignment="1">
      <alignment horizontal="center" vertical="center"/>
    </xf>
    <xf numFmtId="0" fontId="7" fillId="56" borderId="1" xfId="0" applyFont="1" applyFill="1" applyBorder="1" applyAlignment="1">
      <alignment horizontal="center"/>
    </xf>
    <xf numFmtId="0" fontId="0" fillId="0" borderId="0" xfId="0" applyFill="1" applyAlignment="1">
      <alignment horizontal="center" vertical="top" wrapText="1"/>
    </xf>
    <xf numFmtId="4" fontId="0" fillId="0" borderId="0" xfId="0" applyNumberFormat="1" applyFill="1" applyAlignment="1">
      <alignment horizontal="center" vertical="top" wrapText="1"/>
    </xf>
    <xf numFmtId="0" fontId="101" fillId="0" borderId="0" xfId="0" applyFont="1" applyAlignment="1">
      <alignment horizontal="center"/>
    </xf>
    <xf numFmtId="0" fontId="101" fillId="0" borderId="0" xfId="0" applyFont="1" applyAlignment="1">
      <alignment horizontal="center" wrapText="1"/>
    </xf>
    <xf numFmtId="0" fontId="58" fillId="3" borderId="0" xfId="0" applyFont="1" applyFill="1" applyAlignment="1">
      <alignment horizontal="center"/>
    </xf>
    <xf numFmtId="0" fontId="57" fillId="3" borderId="0" xfId="0" applyFont="1" applyFill="1" applyBorder="1" applyAlignment="1">
      <alignment horizontal="center" vertical="center"/>
    </xf>
    <xf numFmtId="0" fontId="57" fillId="3" borderId="25" xfId="0" applyFont="1" applyFill="1" applyBorder="1" applyAlignment="1">
      <alignment horizontal="center" vertical="center"/>
    </xf>
    <xf numFmtId="0" fontId="33" fillId="0" borderId="61" xfId="703" applyNumberFormat="1" applyFont="1" applyFill="1" applyBorder="1" applyAlignment="1">
      <alignment horizontal="left" vertical="center" wrapText="1"/>
    </xf>
    <xf numFmtId="0" fontId="33" fillId="0" borderId="5" xfId="703" applyNumberFormat="1" applyFont="1" applyFill="1" applyBorder="1" applyAlignment="1">
      <alignment horizontal="left" vertical="center" wrapText="1"/>
    </xf>
    <xf numFmtId="3" fontId="51" fillId="0" borderId="53" xfId="3212" applyNumberFormat="1" applyFont="1" applyFill="1" applyBorder="1" applyAlignment="1">
      <alignment horizontal="center" vertical="center"/>
    </xf>
    <xf numFmtId="3" fontId="51" fillId="0" borderId="26" xfId="3212" applyNumberFormat="1" applyFont="1" applyFill="1" applyBorder="1" applyAlignment="1">
      <alignment horizontal="center" vertical="center"/>
    </xf>
    <xf numFmtId="3" fontId="51" fillId="0" borderId="5" xfId="3212" applyNumberFormat="1" applyFont="1" applyFill="1" applyBorder="1" applyAlignment="1">
      <alignment horizontal="center" vertical="center"/>
    </xf>
    <xf numFmtId="0" fontId="33" fillId="0" borderId="53" xfId="703" applyNumberFormat="1" applyFont="1" applyFill="1" applyBorder="1" applyAlignment="1">
      <alignment horizontal="left" vertical="center" wrapText="1"/>
    </xf>
    <xf numFmtId="0" fontId="76" fillId="3" borderId="53" xfId="0" applyFont="1" applyFill="1" applyBorder="1" applyAlignment="1">
      <alignment horizontal="center" vertical="center"/>
    </xf>
    <xf numFmtId="0" fontId="76" fillId="3" borderId="5" xfId="0" applyFont="1" applyFill="1" applyBorder="1" applyAlignment="1">
      <alignment horizontal="center" vertical="center"/>
    </xf>
    <xf numFmtId="0" fontId="78" fillId="0" borderId="61" xfId="3211" applyFont="1" applyBorder="1" applyAlignment="1">
      <alignment horizontal="center" vertical="center"/>
    </xf>
    <xf numFmtId="0" fontId="78" fillId="0" borderId="26" xfId="3211" applyFont="1" applyBorder="1" applyAlignment="1">
      <alignment horizontal="center" vertical="center"/>
    </xf>
    <xf numFmtId="0" fontId="78" fillId="0" borderId="5" xfId="3211" applyFont="1" applyBorder="1" applyAlignment="1">
      <alignment horizontal="center" vertical="center"/>
    </xf>
    <xf numFmtId="0" fontId="76" fillId="3" borderId="61" xfId="0" applyFont="1" applyFill="1" applyBorder="1" applyAlignment="1">
      <alignment horizontal="center" vertical="center"/>
    </xf>
    <xf numFmtId="4" fontId="6" fillId="0" borderId="53" xfId="703" applyNumberFormat="1" applyFont="1" applyFill="1" applyBorder="1" applyAlignment="1">
      <alignment horizontal="center" vertical="center" wrapText="1"/>
    </xf>
    <xf numFmtId="4" fontId="6" fillId="0" borderId="61" xfId="703" applyNumberFormat="1" applyFont="1" applyFill="1" applyBorder="1" applyAlignment="1">
      <alignment horizontal="center" vertical="center" wrapText="1"/>
    </xf>
    <xf numFmtId="4" fontId="6" fillId="0" borderId="26" xfId="703" applyNumberFormat="1" applyFont="1" applyFill="1" applyBorder="1" applyAlignment="1">
      <alignment horizontal="center" vertical="center" wrapText="1"/>
    </xf>
    <xf numFmtId="4" fontId="49" fillId="3" borderId="5" xfId="703" applyNumberFormat="1" applyFont="1" applyFill="1" applyBorder="1" applyAlignment="1">
      <alignment horizontal="center" vertical="center" wrapText="1"/>
    </xf>
    <xf numFmtId="4" fontId="72" fillId="0" borderId="1" xfId="3212" applyNumberFormat="1" applyFont="1" applyFill="1" applyBorder="1" applyAlignment="1">
      <alignment horizontal="center" vertical="center"/>
    </xf>
    <xf numFmtId="4" fontId="72" fillId="0" borderId="1" xfId="703" applyNumberFormat="1" applyFont="1" applyFill="1" applyBorder="1" applyAlignment="1">
      <alignment horizontal="center" vertical="center" wrapText="1"/>
    </xf>
    <xf numFmtId="0" fontId="72" fillId="0" borderId="1" xfId="703" applyFont="1" applyFill="1" applyBorder="1" applyAlignment="1">
      <alignment horizontal="center" vertical="center" wrapText="1"/>
    </xf>
    <xf numFmtId="0" fontId="74" fillId="0" borderId="52" xfId="0" applyFont="1" applyFill="1" applyBorder="1" applyAlignment="1">
      <alignment horizontal="center" vertical="center"/>
    </xf>
    <xf numFmtId="0" fontId="74" fillId="0" borderId="51" xfId="0" applyFont="1" applyFill="1" applyBorder="1" applyAlignment="1">
      <alignment horizontal="center" vertical="center"/>
    </xf>
    <xf numFmtId="1" fontId="72" fillId="0" borderId="52" xfId="703" applyNumberFormat="1" applyFont="1" applyFill="1" applyBorder="1" applyAlignment="1">
      <alignment horizontal="left" vertical="center" wrapText="1"/>
    </xf>
    <xf numFmtId="1" fontId="72" fillId="0" borderId="51" xfId="703" applyNumberFormat="1" applyFont="1" applyFill="1" applyBorder="1" applyAlignment="1">
      <alignment horizontal="left" vertical="center" wrapText="1"/>
    </xf>
    <xf numFmtId="0" fontId="76" fillId="0" borderId="53" xfId="0" applyFont="1" applyFill="1" applyBorder="1" applyAlignment="1">
      <alignment horizontal="center" vertical="center"/>
    </xf>
    <xf numFmtId="0" fontId="76" fillId="0" borderId="5" xfId="0" applyFont="1" applyFill="1" applyBorder="1" applyAlignment="1">
      <alignment horizontal="center" vertical="center"/>
    </xf>
    <xf numFmtId="0" fontId="7" fillId="48" borderId="3" xfId="0" applyFont="1" applyFill="1" applyBorder="1" applyAlignment="1">
      <alignment horizontal="justify" vertical="center"/>
    </xf>
    <xf numFmtId="0" fontId="7" fillId="48" borderId="28" xfId="0" applyFont="1" applyFill="1" applyBorder="1" applyAlignment="1">
      <alignment horizontal="justify" vertical="center"/>
    </xf>
    <xf numFmtId="0" fontId="7" fillId="48" borderId="4" xfId="0" applyFont="1" applyFill="1" applyBorder="1" applyAlignment="1">
      <alignment horizontal="justify" vertical="center"/>
    </xf>
    <xf numFmtId="4" fontId="94" fillId="46" borderId="3" xfId="4" applyNumberFormat="1" applyFont="1" applyFill="1" applyBorder="1" applyAlignment="1">
      <alignment horizontal="left" vertical="center"/>
    </xf>
    <xf numFmtId="4" fontId="94" fillId="46" borderId="28" xfId="4" applyNumberFormat="1" applyFont="1" applyFill="1" applyBorder="1" applyAlignment="1">
      <alignment horizontal="left" vertical="center"/>
    </xf>
    <xf numFmtId="4" fontId="94" fillId="46" borderId="4" xfId="4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justify" vertical="center"/>
    </xf>
    <xf numFmtId="0" fontId="7" fillId="0" borderId="28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/>
    </xf>
    <xf numFmtId="0" fontId="99" fillId="0" borderId="76" xfId="0" applyFont="1" applyFill="1" applyBorder="1" applyAlignment="1">
      <alignment horizontal="center" vertical="center"/>
    </xf>
    <xf numFmtId="0" fontId="99" fillId="0" borderId="62" xfId="0" applyFont="1" applyFill="1" applyBorder="1" applyAlignment="1">
      <alignment horizontal="center" vertical="center"/>
    </xf>
    <xf numFmtId="0" fontId="99" fillId="0" borderId="77" xfId="0" applyFont="1" applyFill="1" applyBorder="1" applyAlignment="1">
      <alignment horizontal="center" vertical="center"/>
    </xf>
    <xf numFmtId="4" fontId="56" fillId="46" borderId="3" xfId="4" applyNumberFormat="1" applyFont="1" applyFill="1" applyBorder="1" applyAlignment="1">
      <alignment horizontal="left" vertical="center"/>
    </xf>
    <xf numFmtId="4" fontId="56" fillId="46" borderId="28" xfId="4" applyNumberFormat="1" applyFont="1" applyFill="1" applyBorder="1" applyAlignment="1">
      <alignment horizontal="left" vertical="center"/>
    </xf>
    <xf numFmtId="4" fontId="56" fillId="46" borderId="4" xfId="4" applyNumberFormat="1" applyFont="1" applyFill="1" applyBorder="1" applyAlignment="1">
      <alignment horizontal="left" vertical="center"/>
    </xf>
    <xf numFmtId="2" fontId="99" fillId="0" borderId="76" xfId="0" applyNumberFormat="1" applyFont="1" applyFill="1" applyBorder="1" applyAlignment="1">
      <alignment horizontal="center" vertical="center"/>
    </xf>
    <xf numFmtId="2" fontId="99" fillId="0" borderId="62" xfId="0" applyNumberFormat="1" applyFont="1" applyFill="1" applyBorder="1" applyAlignment="1">
      <alignment horizontal="center" vertical="center"/>
    </xf>
    <xf numFmtId="2" fontId="99" fillId="0" borderId="77" xfId="0" applyNumberFormat="1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49" fillId="3" borderId="0" xfId="703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justify" vertical="center"/>
    </xf>
    <xf numFmtId="0" fontId="7" fillId="3" borderId="50" xfId="0" applyFont="1" applyFill="1" applyBorder="1" applyAlignment="1">
      <alignment horizontal="justify" vertical="center"/>
    </xf>
    <xf numFmtId="0" fontId="7" fillId="3" borderId="4" xfId="0" applyFont="1" applyFill="1" applyBorder="1" applyAlignment="1">
      <alignment horizontal="justify" vertical="center"/>
    </xf>
    <xf numFmtId="0" fontId="7" fillId="3" borderId="28" xfId="0" applyFont="1" applyFill="1" applyBorder="1" applyAlignment="1">
      <alignment horizontal="justify" vertical="center"/>
    </xf>
    <xf numFmtId="0" fontId="98" fillId="0" borderId="80" xfId="0" applyFont="1" applyBorder="1" applyAlignment="1">
      <alignment horizontal="center"/>
    </xf>
    <xf numFmtId="0" fontId="98" fillId="0" borderId="84" xfId="0" applyFont="1" applyBorder="1" applyAlignment="1">
      <alignment horizontal="center"/>
    </xf>
    <xf numFmtId="0" fontId="98" fillId="0" borderId="81" xfId="0" applyFont="1" applyBorder="1" applyAlignment="1">
      <alignment horizontal="center"/>
    </xf>
    <xf numFmtId="2" fontId="95" fillId="0" borderId="76" xfId="0" applyNumberFormat="1" applyFont="1" applyBorder="1" applyAlignment="1">
      <alignment horizontal="center" vertical="center"/>
    </xf>
    <xf numFmtId="2" fontId="95" fillId="0" borderId="77" xfId="0" applyNumberFormat="1" applyFont="1" applyBorder="1" applyAlignment="1">
      <alignment horizontal="center" vertical="center"/>
    </xf>
    <xf numFmtId="2" fontId="96" fillId="0" borderId="76" xfId="0" applyNumberFormat="1" applyFont="1" applyBorder="1" applyAlignment="1">
      <alignment horizontal="center" vertical="center"/>
    </xf>
    <xf numFmtId="2" fontId="96" fillId="0" borderId="77" xfId="0" applyNumberFormat="1" applyFont="1" applyBorder="1" applyAlignment="1">
      <alignment horizontal="center" vertical="center"/>
    </xf>
    <xf numFmtId="0" fontId="95" fillId="55" borderId="0" xfId="0" applyFont="1" applyFill="1" applyAlignment="1">
      <alignment horizontal="center"/>
    </xf>
    <xf numFmtId="0" fontId="96" fillId="0" borderId="84" xfId="0" applyFont="1" applyBorder="1" applyAlignment="1">
      <alignment horizontal="left" vertical="center" wrapText="1"/>
    </xf>
    <xf numFmtId="0" fontId="96" fillId="0" borderId="84" xfId="0" applyFont="1" applyBorder="1" applyAlignment="1">
      <alignment horizontal="left" vertical="center"/>
    </xf>
    <xf numFmtId="0" fontId="96" fillId="0" borderId="84" xfId="0" applyFont="1" applyBorder="1" applyAlignment="1">
      <alignment horizontal="center"/>
    </xf>
    <xf numFmtId="0" fontId="96" fillId="0" borderId="62" xfId="0" applyFont="1" applyBorder="1" applyAlignment="1">
      <alignment horizontal="left" vertical="center" wrapText="1"/>
    </xf>
    <xf numFmtId="0" fontId="96" fillId="0" borderId="0" xfId="0" applyFont="1" applyAlignment="1">
      <alignment horizontal="center"/>
    </xf>
    <xf numFmtId="2" fontId="96" fillId="0" borderId="76" xfId="0" applyNumberFormat="1" applyFont="1" applyBorder="1" applyAlignment="1">
      <alignment horizontal="center"/>
    </xf>
    <xf numFmtId="2" fontId="96" fillId="0" borderId="62" xfId="0" applyNumberFormat="1" applyFont="1" applyBorder="1" applyAlignment="1">
      <alignment horizontal="center"/>
    </xf>
    <xf numFmtId="0" fontId="95" fillId="0" borderId="76" xfId="0" applyFont="1" applyBorder="1" applyAlignment="1">
      <alignment horizontal="center" vertical="center"/>
    </xf>
    <xf numFmtId="0" fontId="95" fillId="0" borderId="77" xfId="0" applyFont="1" applyBorder="1" applyAlignment="1">
      <alignment horizontal="center" vertical="center"/>
    </xf>
    <xf numFmtId="0" fontId="96" fillId="0" borderId="84" xfId="0" applyFont="1" applyBorder="1" applyAlignment="1">
      <alignment horizontal="right" wrapText="1"/>
    </xf>
    <xf numFmtId="0" fontId="96" fillId="0" borderId="72" xfId="0" applyFont="1" applyBorder="1" applyAlignment="1">
      <alignment horizontal="left" wrapText="1"/>
    </xf>
    <xf numFmtId="0" fontId="96" fillId="0" borderId="84" xfId="0" applyFont="1" applyBorder="1" applyAlignment="1">
      <alignment horizontal="left"/>
    </xf>
    <xf numFmtId="0" fontId="96" fillId="0" borderId="84" xfId="0" applyFont="1" applyBorder="1" applyAlignment="1">
      <alignment horizontal="center" vertical="center" wrapText="1"/>
    </xf>
    <xf numFmtId="0" fontId="71" fillId="3" borderId="1" xfId="0" applyFont="1" applyFill="1" applyBorder="1" applyAlignment="1">
      <alignment horizontal="center" vertical="center" wrapText="1"/>
    </xf>
    <xf numFmtId="0" fontId="71" fillId="3" borderId="1" xfId="0" applyFont="1" applyFill="1" applyBorder="1" applyAlignment="1">
      <alignment horizontal="center" vertical="center"/>
    </xf>
    <xf numFmtId="0" fontId="71" fillId="0" borderId="1" xfId="0" applyFont="1" applyBorder="1" applyAlignment="1">
      <alignment horizontal="center" vertical="center" wrapText="1"/>
    </xf>
    <xf numFmtId="0" fontId="71" fillId="0" borderId="1" xfId="0" applyFont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/>
    </xf>
    <xf numFmtId="0" fontId="71" fillId="3" borderId="0" xfId="0" applyFont="1" applyFill="1" applyAlignment="1">
      <alignment horizontal="center"/>
    </xf>
    <xf numFmtId="0" fontId="49" fillId="0" borderId="26" xfId="3460" applyFont="1" applyBorder="1" applyAlignment="1">
      <alignment horizontal="center" vertical="center" wrapText="1"/>
    </xf>
    <xf numFmtId="0" fontId="49" fillId="0" borderId="5" xfId="3460" applyFont="1" applyBorder="1" applyAlignment="1">
      <alignment horizontal="center" vertical="center" wrapText="1"/>
    </xf>
    <xf numFmtId="0" fontId="84" fillId="39" borderId="71" xfId="3460" applyFont="1" applyFill="1" applyBorder="1" applyAlignment="1">
      <alignment horizontal="center" vertical="center" wrapText="1"/>
    </xf>
    <xf numFmtId="0" fontId="84" fillId="39" borderId="72" xfId="3460" applyFont="1" applyFill="1" applyBorder="1" applyAlignment="1">
      <alignment horizontal="center" vertical="center" wrapText="1"/>
    </xf>
    <xf numFmtId="0" fontId="84" fillId="39" borderId="73" xfId="3460" applyFont="1" applyFill="1" applyBorder="1" applyAlignment="1">
      <alignment horizontal="center" vertical="center" wrapText="1"/>
    </xf>
    <xf numFmtId="0" fontId="88" fillId="39" borderId="71" xfId="0" applyFont="1" applyFill="1" applyBorder="1" applyAlignment="1">
      <alignment horizontal="center" vertical="center" wrapText="1"/>
    </xf>
    <xf numFmtId="0" fontId="88" fillId="39" borderId="73" xfId="0" applyFont="1" applyFill="1" applyBorder="1" applyAlignment="1">
      <alignment horizontal="center" vertical="center" wrapText="1"/>
    </xf>
    <xf numFmtId="0" fontId="66" fillId="0" borderId="80" xfId="0" applyFont="1" applyBorder="1" applyAlignment="1">
      <alignment horizontal="center"/>
    </xf>
    <xf numFmtId="0" fontId="66" fillId="0" borderId="81" xfId="0" applyFont="1" applyBorder="1" applyAlignment="1">
      <alignment horizontal="center"/>
    </xf>
    <xf numFmtId="0" fontId="66" fillId="0" borderId="74" xfId="0" applyFont="1" applyBorder="1" applyAlignment="1">
      <alignment horizontal="center" vertical="center"/>
    </xf>
    <xf numFmtId="0" fontId="66" fillId="0" borderId="75" xfId="0" applyFont="1" applyBorder="1" applyAlignment="1">
      <alignment horizontal="center" vertical="center"/>
    </xf>
    <xf numFmtId="0" fontId="66" fillId="0" borderId="82" xfId="0" applyFont="1" applyBorder="1" applyAlignment="1">
      <alignment horizontal="center" vertical="center"/>
    </xf>
    <xf numFmtId="0" fontId="83" fillId="38" borderId="1" xfId="0" applyFont="1" applyFill="1" applyBorder="1" applyAlignment="1">
      <alignment horizontal="center" vertical="center"/>
    </xf>
    <xf numFmtId="0" fontId="66" fillId="0" borderId="1" xfId="0" applyFont="1" applyBorder="1" applyAlignment="1">
      <alignment horizontal="center" vertical="center"/>
    </xf>
    <xf numFmtId="0" fontId="66" fillId="0" borderId="79" xfId="0" applyFont="1" applyBorder="1" applyAlignment="1">
      <alignment horizontal="center" vertical="center"/>
    </xf>
    <xf numFmtId="0" fontId="66" fillId="0" borderId="76" xfId="0" applyFont="1" applyBorder="1" applyAlignment="1">
      <alignment horizontal="center" wrapText="1"/>
    </xf>
    <xf numFmtId="0" fontId="66" fillId="0" borderId="77" xfId="0" applyFont="1" applyBorder="1" applyAlignment="1">
      <alignment horizontal="center" wrapText="1"/>
    </xf>
    <xf numFmtId="0" fontId="66" fillId="0" borderId="78" xfId="0" applyFont="1" applyBorder="1" applyAlignment="1">
      <alignment horizontal="center" vertical="center" wrapText="1"/>
    </xf>
    <xf numFmtId="0" fontId="66" fillId="0" borderId="5" xfId="0" applyFont="1" applyBorder="1" applyAlignment="1">
      <alignment horizontal="center" vertical="center" wrapText="1"/>
    </xf>
    <xf numFmtId="4" fontId="49" fillId="3" borderId="38" xfId="703" applyNumberFormat="1" applyFont="1" applyFill="1" applyBorder="1" applyAlignment="1">
      <alignment horizontal="center" vertical="center" wrapText="1"/>
    </xf>
    <xf numFmtId="4" fontId="49" fillId="3" borderId="0" xfId="703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0" fillId="3" borderId="38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23" xfId="0" applyFill="1" applyBorder="1" applyAlignment="1">
      <alignment horizontal="center"/>
    </xf>
    <xf numFmtId="0" fontId="0" fillId="40" borderId="32" xfId="0" applyFill="1" applyBorder="1" applyAlignment="1">
      <alignment horizontal="center"/>
    </xf>
    <xf numFmtId="0" fontId="0" fillId="40" borderId="33" xfId="0" applyFill="1" applyBorder="1" applyAlignment="1">
      <alignment horizontal="center"/>
    </xf>
    <xf numFmtId="0" fontId="0" fillId="40" borderId="35" xfId="0" applyFill="1" applyBorder="1" applyAlignment="1">
      <alignment horizontal="center"/>
    </xf>
    <xf numFmtId="0" fontId="0" fillId="40" borderId="36" xfId="0" applyFill="1" applyBorder="1" applyAlignment="1">
      <alignment horizontal="center"/>
    </xf>
    <xf numFmtId="0" fontId="0" fillId="45" borderId="32" xfId="0" applyFill="1" applyBorder="1" applyAlignment="1">
      <alignment horizontal="center"/>
    </xf>
    <xf numFmtId="0" fontId="0" fillId="45" borderId="33" xfId="0" applyFill="1" applyBorder="1" applyAlignment="1">
      <alignment horizontal="center"/>
    </xf>
    <xf numFmtId="0" fontId="0" fillId="45" borderId="35" xfId="0" applyFill="1" applyBorder="1" applyAlignment="1">
      <alignment horizontal="center"/>
    </xf>
    <xf numFmtId="0" fontId="0" fillId="45" borderId="36" xfId="0" applyFill="1" applyBorder="1" applyAlignment="1">
      <alignment horizontal="center"/>
    </xf>
    <xf numFmtId="0" fontId="0" fillId="47" borderId="32" xfId="0" applyFill="1" applyBorder="1" applyAlignment="1">
      <alignment horizontal="center"/>
    </xf>
    <xf numFmtId="0" fontId="0" fillId="47" borderId="33" xfId="0" applyFill="1" applyBorder="1" applyAlignment="1">
      <alignment horizontal="center"/>
    </xf>
    <xf numFmtId="0" fontId="0" fillId="47" borderId="35" xfId="0" applyFill="1" applyBorder="1" applyAlignment="1">
      <alignment horizontal="center"/>
    </xf>
    <xf numFmtId="0" fontId="0" fillId="47" borderId="36" xfId="0" applyFill="1" applyBorder="1" applyAlignment="1">
      <alignment horizontal="center"/>
    </xf>
    <xf numFmtId="174" fontId="2" fillId="3" borderId="0" xfId="0" applyNumberFormat="1" applyFont="1" applyFill="1" applyAlignment="1"/>
    <xf numFmtId="0" fontId="2" fillId="3" borderId="0" xfId="0" applyFont="1" applyFill="1" applyAlignment="1">
      <alignment horizontal="right"/>
    </xf>
    <xf numFmtId="0" fontId="2" fillId="3" borderId="3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10" fontId="2" fillId="44" borderId="1" xfId="0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7" fillId="41" borderId="3" xfId="0" applyFont="1" applyFill="1" applyBorder="1" applyAlignment="1">
      <alignment horizontal="center" vertical="center"/>
    </xf>
    <xf numFmtId="0" fontId="7" fillId="41" borderId="29" xfId="0" applyFont="1" applyFill="1" applyBorder="1" applyAlignment="1">
      <alignment horizontal="center" vertical="center"/>
    </xf>
    <xf numFmtId="0" fontId="7" fillId="41" borderId="4" xfId="0" applyFont="1" applyFill="1" applyBorder="1" applyAlignment="1">
      <alignment horizontal="center" vertical="center"/>
    </xf>
    <xf numFmtId="0" fontId="76" fillId="0" borderId="1" xfId="0" applyFont="1" applyFill="1" applyBorder="1" applyAlignment="1">
      <alignment horizontal="left" vertical="center" wrapText="1"/>
    </xf>
  </cellXfs>
  <cellStyles count="3461">
    <cellStyle name="0,0_x000d__x000a_NA_x000d__x000a_" xfId="3"/>
    <cellStyle name="0,0_x000d__x000a_NA_x000d__x000a_ 2 2 2" xfId="4"/>
    <cellStyle name="0,0_x000d__x000a_NA_x000d__x000a_ 2 3" xfId="5"/>
    <cellStyle name="0,00###" xfId="6"/>
    <cellStyle name="0.0" xfId="7"/>
    <cellStyle name="0.0.0" xfId="8"/>
    <cellStyle name="0.0_BEIRAL ANALISE DEZEMBRO_SPA_aprovada" xfId="9"/>
    <cellStyle name="12" xfId="10"/>
    <cellStyle name="12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Ênfase1 10" xfId="18"/>
    <cellStyle name="20% - Ênfase1 11" xfId="19"/>
    <cellStyle name="20% - Ênfase1 2" xfId="20"/>
    <cellStyle name="20% - Ênfase1 3" xfId="21"/>
    <cellStyle name="20% - Ênfase1 4" xfId="22"/>
    <cellStyle name="20% - Ênfase1 5" xfId="23"/>
    <cellStyle name="20% - Ênfase1 6" xfId="24"/>
    <cellStyle name="20% - Ênfase1 7" xfId="25"/>
    <cellStyle name="20% - Ênfase1 8" xfId="26"/>
    <cellStyle name="20% - Ênfase1 9" xfId="27"/>
    <cellStyle name="20% - Ênfase2 10" xfId="28"/>
    <cellStyle name="20% - Ênfase2 11" xfId="29"/>
    <cellStyle name="20% - Ênfase2 2" xfId="30"/>
    <cellStyle name="20% - Ênfase2 3" xfId="31"/>
    <cellStyle name="20% - Ênfase2 4" xfId="32"/>
    <cellStyle name="20% - Ênfase2 5" xfId="33"/>
    <cellStyle name="20% - Ênfase2 6" xfId="34"/>
    <cellStyle name="20% - Ênfase2 7" xfId="35"/>
    <cellStyle name="20% - Ênfase2 8" xfId="36"/>
    <cellStyle name="20% - Ênfase2 9" xfId="37"/>
    <cellStyle name="20% - Ênfase3 10" xfId="38"/>
    <cellStyle name="20% - Ênfase3 11" xfId="39"/>
    <cellStyle name="20% - Ênfase3 2" xfId="40"/>
    <cellStyle name="20% - Ênfase3 3" xfId="41"/>
    <cellStyle name="20% - Ênfase3 4" xfId="42"/>
    <cellStyle name="20% - Ênfase3 5" xfId="43"/>
    <cellStyle name="20% - Ênfase3 6" xfId="44"/>
    <cellStyle name="20% - Ênfase3 7" xfId="45"/>
    <cellStyle name="20% - Ênfase3 8" xfId="46"/>
    <cellStyle name="20% - Ênfase3 9" xfId="47"/>
    <cellStyle name="20% - Ênfase4 10" xfId="48"/>
    <cellStyle name="20% - Ênfase4 11" xfId="49"/>
    <cellStyle name="20% - Ênfase4 2" xfId="50"/>
    <cellStyle name="20% - Ênfase4 3" xfId="51"/>
    <cellStyle name="20% - Ênfase4 4" xfId="52"/>
    <cellStyle name="20% - Ênfase4 5" xfId="53"/>
    <cellStyle name="20% - Ênfase4 6" xfId="54"/>
    <cellStyle name="20% - Ênfase4 7" xfId="55"/>
    <cellStyle name="20% - Ênfase4 8" xfId="56"/>
    <cellStyle name="20% - Ênfase4 9" xfId="57"/>
    <cellStyle name="20% - Ênfase5 10" xfId="58"/>
    <cellStyle name="20% - Ênfase5 11" xfId="59"/>
    <cellStyle name="20% - Ênfase5 2" xfId="60"/>
    <cellStyle name="20% - Ênfase5 3" xfId="61"/>
    <cellStyle name="20% - Ênfase5 4" xfId="62"/>
    <cellStyle name="20% - Ênfase5 5" xfId="63"/>
    <cellStyle name="20% - Ênfase5 6" xfId="64"/>
    <cellStyle name="20% - Ênfase5 7" xfId="65"/>
    <cellStyle name="20% - Ênfase5 8" xfId="66"/>
    <cellStyle name="20% - Ênfase5 9" xfId="67"/>
    <cellStyle name="20% - Ênfase6 10" xfId="68"/>
    <cellStyle name="20% - Ênfase6 11" xfId="69"/>
    <cellStyle name="20% - Ênfase6 2" xfId="70"/>
    <cellStyle name="20% - Ênfase6 3" xfId="71"/>
    <cellStyle name="20% - Ênfase6 4" xfId="72"/>
    <cellStyle name="20% - Ênfase6 5" xfId="73"/>
    <cellStyle name="20% - Ênfase6 6" xfId="74"/>
    <cellStyle name="20% - Ênfase6 7" xfId="75"/>
    <cellStyle name="20% - Ênfase6 8" xfId="76"/>
    <cellStyle name="20% - Ênfase6 9" xfId="77"/>
    <cellStyle name="40% - Accent1" xfId="78"/>
    <cellStyle name="40% - Accent2" xfId="79"/>
    <cellStyle name="40% - Accent3" xfId="80"/>
    <cellStyle name="40% - Accent4" xfId="81"/>
    <cellStyle name="40% - Accent5" xfId="82"/>
    <cellStyle name="40% - Accent6" xfId="83"/>
    <cellStyle name="40% - Ênfase1 10" xfId="84"/>
    <cellStyle name="40% - Ênfase1 11" xfId="85"/>
    <cellStyle name="40% - Ênfase1 2" xfId="86"/>
    <cellStyle name="40% - Ênfase1 3" xfId="87"/>
    <cellStyle name="40% - Ênfase1 4" xfId="88"/>
    <cellStyle name="40% - Ênfase1 5" xfId="89"/>
    <cellStyle name="40% - Ênfase1 6" xfId="90"/>
    <cellStyle name="40% - Ênfase1 7" xfId="91"/>
    <cellStyle name="40% - Ênfase1 8" xfId="92"/>
    <cellStyle name="40% - Ênfase1 9" xfId="93"/>
    <cellStyle name="40% - Ênfase2 10" xfId="94"/>
    <cellStyle name="40% - Ênfase2 11" xfId="95"/>
    <cellStyle name="40% - Ênfase2 2" xfId="96"/>
    <cellStyle name="40% - Ênfase2 3" xfId="97"/>
    <cellStyle name="40% - Ênfase2 4" xfId="98"/>
    <cellStyle name="40% - Ênfase2 5" xfId="99"/>
    <cellStyle name="40% - Ênfase2 6" xfId="100"/>
    <cellStyle name="40% - Ênfase2 7" xfId="101"/>
    <cellStyle name="40% - Ênfase2 8" xfId="102"/>
    <cellStyle name="40% - Ênfase2 9" xfId="103"/>
    <cellStyle name="40% - Ênfase3 10" xfId="104"/>
    <cellStyle name="40% - Ênfase3 11" xfId="105"/>
    <cellStyle name="40% - Ênfase3 2" xfId="106"/>
    <cellStyle name="40% - Ênfase3 3" xfId="107"/>
    <cellStyle name="40% - Ênfase3 4" xfId="108"/>
    <cellStyle name="40% - Ênfase3 5" xfId="109"/>
    <cellStyle name="40% - Ênfase3 6" xfId="110"/>
    <cellStyle name="40% - Ênfase3 7" xfId="111"/>
    <cellStyle name="40% - Ênfase3 8" xfId="112"/>
    <cellStyle name="40% - Ênfase3 9" xfId="113"/>
    <cellStyle name="40% - Ênfase4 10" xfId="114"/>
    <cellStyle name="40% - Ênfase4 11" xfId="115"/>
    <cellStyle name="40% - Ênfase4 2" xfId="116"/>
    <cellStyle name="40% - Ênfase4 3" xfId="117"/>
    <cellStyle name="40% - Ênfase4 4" xfId="118"/>
    <cellStyle name="40% - Ênfase4 5" xfId="119"/>
    <cellStyle name="40% - Ênfase4 6" xfId="120"/>
    <cellStyle name="40% - Ênfase4 7" xfId="121"/>
    <cellStyle name="40% - Ênfase4 8" xfId="122"/>
    <cellStyle name="40% - Ênfase4 9" xfId="123"/>
    <cellStyle name="40% - Ênfase5 10" xfId="124"/>
    <cellStyle name="40% - Ênfase5 11" xfId="125"/>
    <cellStyle name="40% - Ênfase5 2" xfId="126"/>
    <cellStyle name="40% - Ênfase5 3" xfId="127"/>
    <cellStyle name="40% - Ênfase5 4" xfId="128"/>
    <cellStyle name="40% - Ênfase5 5" xfId="129"/>
    <cellStyle name="40% - Ênfase5 6" xfId="130"/>
    <cellStyle name="40% - Ênfase5 7" xfId="131"/>
    <cellStyle name="40% - Ênfase5 8" xfId="132"/>
    <cellStyle name="40% - Ênfase5 9" xfId="133"/>
    <cellStyle name="40% - Ênfase6 10" xfId="134"/>
    <cellStyle name="40% - Ênfase6 11" xfId="135"/>
    <cellStyle name="40% - Ênfase6 2" xfId="136"/>
    <cellStyle name="40% - Ênfase6 3" xfId="137"/>
    <cellStyle name="40% - Ênfase6 4" xfId="138"/>
    <cellStyle name="40% - Ênfase6 5" xfId="139"/>
    <cellStyle name="40% - Ênfase6 6" xfId="140"/>
    <cellStyle name="40% - Ênfase6 7" xfId="141"/>
    <cellStyle name="40% - Ênfase6 8" xfId="142"/>
    <cellStyle name="40% - Ênfase6 9" xfId="143"/>
    <cellStyle name="60% - Accent1" xfId="144"/>
    <cellStyle name="60% - Accent2" xfId="145"/>
    <cellStyle name="60% - Accent3" xfId="146"/>
    <cellStyle name="60% - Accent4" xfId="147"/>
    <cellStyle name="60% - Accent5" xfId="148"/>
    <cellStyle name="60% - Accent6" xfId="149"/>
    <cellStyle name="60% - Ênfase1 10" xfId="150"/>
    <cellStyle name="60% - Ênfase1 11" xfId="151"/>
    <cellStyle name="60% - Ênfase1 2" xfId="152"/>
    <cellStyle name="60% - Ênfase1 3" xfId="153"/>
    <cellStyle name="60% - Ênfase1 4" xfId="154"/>
    <cellStyle name="60% - Ênfase1 5" xfId="155"/>
    <cellStyle name="60% - Ênfase1 6" xfId="156"/>
    <cellStyle name="60% - Ênfase1 7" xfId="157"/>
    <cellStyle name="60% - Ênfase1 8" xfId="158"/>
    <cellStyle name="60% - Ênfase1 9" xfId="159"/>
    <cellStyle name="60% - Ênfase2 10" xfId="160"/>
    <cellStyle name="60% - Ênfase2 11" xfId="161"/>
    <cellStyle name="60% - Ênfase2 2" xfId="162"/>
    <cellStyle name="60% - Ênfase2 3" xfId="163"/>
    <cellStyle name="60% - Ênfase2 4" xfId="164"/>
    <cellStyle name="60% - Ênfase2 5" xfId="165"/>
    <cellStyle name="60% - Ênfase2 6" xfId="166"/>
    <cellStyle name="60% - Ênfase2 7" xfId="167"/>
    <cellStyle name="60% - Ênfase2 8" xfId="168"/>
    <cellStyle name="60% - Ênfase2 9" xfId="169"/>
    <cellStyle name="60% - Ênfase3 10" xfId="170"/>
    <cellStyle name="60% - Ênfase3 11" xfId="171"/>
    <cellStyle name="60% - Ênfase3 2" xfId="172"/>
    <cellStyle name="60% - Ênfase3 3" xfId="173"/>
    <cellStyle name="60% - Ênfase3 4" xfId="174"/>
    <cellStyle name="60% - Ênfase3 5" xfId="175"/>
    <cellStyle name="60% - Ênfase3 6" xfId="176"/>
    <cellStyle name="60% - Ênfase3 7" xfId="177"/>
    <cellStyle name="60% - Ênfase3 8" xfId="178"/>
    <cellStyle name="60% - Ênfase3 9" xfId="179"/>
    <cellStyle name="60% - Ênfase4 10" xfId="180"/>
    <cellStyle name="60% - Ênfase4 11" xfId="181"/>
    <cellStyle name="60% - Ênfase4 2" xfId="182"/>
    <cellStyle name="60% - Ênfase4 3" xfId="183"/>
    <cellStyle name="60% - Ênfase4 4" xfId="184"/>
    <cellStyle name="60% - Ênfase4 5" xfId="185"/>
    <cellStyle name="60% - Ênfase4 6" xfId="186"/>
    <cellStyle name="60% - Ênfase4 7" xfId="187"/>
    <cellStyle name="60% - Ênfase4 8" xfId="188"/>
    <cellStyle name="60% - Ênfase4 9" xfId="189"/>
    <cellStyle name="60% - Ênfase5 10" xfId="190"/>
    <cellStyle name="60% - Ênfase5 11" xfId="191"/>
    <cellStyle name="60% - Ênfase5 2" xfId="192"/>
    <cellStyle name="60% - Ênfase5 3" xfId="193"/>
    <cellStyle name="60% - Ênfase5 4" xfId="194"/>
    <cellStyle name="60% - Ênfase5 5" xfId="195"/>
    <cellStyle name="60% - Ênfase5 6" xfId="196"/>
    <cellStyle name="60% - Ênfase5 7" xfId="197"/>
    <cellStyle name="60% - Ênfase5 8" xfId="198"/>
    <cellStyle name="60% - Ênfase5 9" xfId="199"/>
    <cellStyle name="60% - Ênfase6 10" xfId="200"/>
    <cellStyle name="60% - Ênfase6 11" xfId="201"/>
    <cellStyle name="60% - Ênfase6 2" xfId="202"/>
    <cellStyle name="60% - Ênfase6 3" xfId="203"/>
    <cellStyle name="60% - Ênfase6 4" xfId="204"/>
    <cellStyle name="60% - Ênfase6 5" xfId="205"/>
    <cellStyle name="60% - Ênfase6 6" xfId="206"/>
    <cellStyle name="60% - Ênfase6 7" xfId="207"/>
    <cellStyle name="60% - Ênfase6 8" xfId="208"/>
    <cellStyle name="60% - Ênfase6 9" xfId="209"/>
    <cellStyle name="Accent1" xfId="210"/>
    <cellStyle name="Accent1 - 20%" xfId="211"/>
    <cellStyle name="Accent1 - 40%" xfId="212"/>
    <cellStyle name="Accent1 - 60%" xfId="213"/>
    <cellStyle name="Accent1_Base SINAPI" xfId="214"/>
    <cellStyle name="Accent2" xfId="215"/>
    <cellStyle name="Accent2 - 20%" xfId="216"/>
    <cellStyle name="Accent2 - 40%" xfId="217"/>
    <cellStyle name="Accent2 - 60%" xfId="218"/>
    <cellStyle name="Accent2_Base SINAPI" xfId="219"/>
    <cellStyle name="Accent3" xfId="220"/>
    <cellStyle name="Accent3 - 20%" xfId="221"/>
    <cellStyle name="Accent3 - 40%" xfId="222"/>
    <cellStyle name="Accent3 - 60%" xfId="223"/>
    <cellStyle name="Accent3_Base SINAPI" xfId="224"/>
    <cellStyle name="Accent4" xfId="225"/>
    <cellStyle name="Accent4 - 20%" xfId="226"/>
    <cellStyle name="Accent4 - 40%" xfId="227"/>
    <cellStyle name="Accent4 - 60%" xfId="228"/>
    <cellStyle name="Accent4_Base SINAPI" xfId="229"/>
    <cellStyle name="Accent5" xfId="230"/>
    <cellStyle name="Accent5 - 20%" xfId="231"/>
    <cellStyle name="Accent5 - 40%" xfId="232"/>
    <cellStyle name="Accent5 - 60%" xfId="233"/>
    <cellStyle name="Accent5_Base SINAPI" xfId="234"/>
    <cellStyle name="Accent6" xfId="235"/>
    <cellStyle name="Accent6 - 20%" xfId="236"/>
    <cellStyle name="Accent6 - 40%" xfId="237"/>
    <cellStyle name="Accent6 - 60%" xfId="238"/>
    <cellStyle name="Accent6_Base SINAPI" xfId="239"/>
    <cellStyle name="Bad" xfId="240"/>
    <cellStyle name="Bom 10" xfId="241"/>
    <cellStyle name="Bom 11" xfId="242"/>
    <cellStyle name="Bom 2" xfId="243"/>
    <cellStyle name="Bom 3" xfId="244"/>
    <cellStyle name="Bom 4" xfId="245"/>
    <cellStyle name="Bom 5" xfId="246"/>
    <cellStyle name="Bom 6" xfId="247"/>
    <cellStyle name="Bom 7" xfId="248"/>
    <cellStyle name="Bom 8" xfId="249"/>
    <cellStyle name="Bom 9" xfId="250"/>
    <cellStyle name="Cabeçalho 1" xfId="251"/>
    <cellStyle name="Cabeçalho 2" xfId="252"/>
    <cellStyle name="Calculation" xfId="253"/>
    <cellStyle name="Calculation 2" xfId="3216"/>
    <cellStyle name="Calculation 2 2" xfId="3457"/>
    <cellStyle name="Cálculo 10" xfId="254"/>
    <cellStyle name="Cálculo 10 2" xfId="3217"/>
    <cellStyle name="Cálculo 10 2 2" xfId="3456"/>
    <cellStyle name="Cálculo 11" xfId="255"/>
    <cellStyle name="Cálculo 11 2" xfId="3218"/>
    <cellStyle name="Cálculo 11 2 2" xfId="3455"/>
    <cellStyle name="Cálculo 2" xfId="256"/>
    <cellStyle name="Cálculo 2 2" xfId="3219"/>
    <cellStyle name="Cálculo 2 2 2" xfId="3454"/>
    <cellStyle name="Cálculo 3" xfId="257"/>
    <cellStyle name="Cálculo 3 2" xfId="3220"/>
    <cellStyle name="Cálculo 3 2 2" xfId="3453"/>
    <cellStyle name="Cálculo 4" xfId="258"/>
    <cellStyle name="Cálculo 4 2" xfId="3221"/>
    <cellStyle name="Cálculo 4 2 2" xfId="3452"/>
    <cellStyle name="Cálculo 5" xfId="259"/>
    <cellStyle name="Cálculo 5 2" xfId="3222"/>
    <cellStyle name="Cálculo 5 2 2" xfId="3451"/>
    <cellStyle name="Cálculo 6" xfId="260"/>
    <cellStyle name="Cálculo 6 2" xfId="3223"/>
    <cellStyle name="Cálculo 6 2 2" xfId="3450"/>
    <cellStyle name="Cálculo 7" xfId="261"/>
    <cellStyle name="Cálculo 7 2" xfId="3224"/>
    <cellStyle name="Cálculo 7 2 2" xfId="3449"/>
    <cellStyle name="Cálculo 8" xfId="262"/>
    <cellStyle name="Cálculo 8 2" xfId="3225"/>
    <cellStyle name="Cálculo 8 2 2" xfId="3448"/>
    <cellStyle name="Cálculo 9" xfId="263"/>
    <cellStyle name="Cálculo 9 2" xfId="3226"/>
    <cellStyle name="Cálculo 9 2 2" xfId="3447"/>
    <cellStyle name="Cancel" xfId="264"/>
    <cellStyle name="CEHAP" xfId="265"/>
    <cellStyle name="Célula de Verificação 10" xfId="266"/>
    <cellStyle name="Célula de Verificação 11" xfId="267"/>
    <cellStyle name="Célula de Verificação 2" xfId="268"/>
    <cellStyle name="Célula de Verificação 3" xfId="269"/>
    <cellStyle name="Célula de Verificação 4" xfId="270"/>
    <cellStyle name="Célula de Verificação 5" xfId="271"/>
    <cellStyle name="Célula de Verificação 6" xfId="272"/>
    <cellStyle name="Célula de Verificação 7" xfId="273"/>
    <cellStyle name="Célula de Verificação 8" xfId="274"/>
    <cellStyle name="Célula de Verificação 9" xfId="275"/>
    <cellStyle name="Célula Vinculada 10" xfId="276"/>
    <cellStyle name="Célula Vinculada 11" xfId="277"/>
    <cellStyle name="Célula Vinculada 2" xfId="278"/>
    <cellStyle name="Célula Vinculada 3" xfId="279"/>
    <cellStyle name="Célula Vinculada 4" xfId="280"/>
    <cellStyle name="Célula Vinculada 5" xfId="281"/>
    <cellStyle name="Célula Vinculada 6" xfId="282"/>
    <cellStyle name="Célula Vinculada 7" xfId="283"/>
    <cellStyle name="Célula Vinculada 8" xfId="284"/>
    <cellStyle name="Célula Vinculada 9" xfId="285"/>
    <cellStyle name="Check Cell" xfId="286"/>
    <cellStyle name="Comma" xfId="287"/>
    <cellStyle name="Comma 2" xfId="288"/>
    <cellStyle name="Comma 3" xfId="289"/>
    <cellStyle name="Comma 4" xfId="290"/>
    <cellStyle name="Comma 5" xfId="291"/>
    <cellStyle name="Comma 6" xfId="292"/>
    <cellStyle name="Comma 7" xfId="293"/>
    <cellStyle name="Comma 8" xfId="294"/>
    <cellStyle name="Comma0" xfId="295"/>
    <cellStyle name="Cruzeiro Real" xfId="296"/>
    <cellStyle name="Cruzeiro Real 2" xfId="297"/>
    <cellStyle name="Cruzeiro Real 3" xfId="298"/>
    <cellStyle name="Currency" xfId="299"/>
    <cellStyle name="Currency0" xfId="300"/>
    <cellStyle name="Data" xfId="301"/>
    <cellStyle name="Date" xfId="302"/>
    <cellStyle name="Emphasis 1" xfId="303"/>
    <cellStyle name="Emphasis 2" xfId="304"/>
    <cellStyle name="Emphasis 3" xfId="305"/>
    <cellStyle name="Ênfase1 10" xfId="306"/>
    <cellStyle name="Ênfase1 11" xfId="307"/>
    <cellStyle name="Ênfase1 2" xfId="308"/>
    <cellStyle name="Ênfase1 3" xfId="309"/>
    <cellStyle name="Ênfase1 4" xfId="310"/>
    <cellStyle name="Ênfase1 5" xfId="311"/>
    <cellStyle name="Ênfase1 6" xfId="312"/>
    <cellStyle name="Ênfase1 7" xfId="313"/>
    <cellStyle name="Ênfase1 8" xfId="314"/>
    <cellStyle name="Ênfase1 9" xfId="315"/>
    <cellStyle name="Ênfase2 10" xfId="316"/>
    <cellStyle name="Ênfase2 11" xfId="317"/>
    <cellStyle name="Ênfase2 2" xfId="318"/>
    <cellStyle name="Ênfase2 3" xfId="319"/>
    <cellStyle name="Ênfase2 4" xfId="320"/>
    <cellStyle name="Ênfase2 5" xfId="321"/>
    <cellStyle name="Ênfase2 6" xfId="322"/>
    <cellStyle name="Ênfase2 7" xfId="323"/>
    <cellStyle name="Ênfase2 8" xfId="324"/>
    <cellStyle name="Ênfase2 9" xfId="325"/>
    <cellStyle name="Ênfase3 10" xfId="326"/>
    <cellStyle name="Ênfase3 11" xfId="327"/>
    <cellStyle name="Ênfase3 2" xfId="328"/>
    <cellStyle name="Ênfase3 3" xfId="329"/>
    <cellStyle name="Ênfase3 4" xfId="330"/>
    <cellStyle name="Ênfase3 5" xfId="331"/>
    <cellStyle name="Ênfase3 6" xfId="332"/>
    <cellStyle name="Ênfase3 7" xfId="333"/>
    <cellStyle name="Ênfase3 8" xfId="334"/>
    <cellStyle name="Ênfase3 9" xfId="335"/>
    <cellStyle name="Ênfase4 10" xfId="336"/>
    <cellStyle name="Ênfase4 11" xfId="337"/>
    <cellStyle name="Ênfase4 2" xfId="338"/>
    <cellStyle name="Ênfase4 3" xfId="339"/>
    <cellStyle name="Ênfase4 4" xfId="340"/>
    <cellStyle name="Ênfase4 5" xfId="341"/>
    <cellStyle name="Ênfase4 6" xfId="342"/>
    <cellStyle name="Ênfase4 7" xfId="343"/>
    <cellStyle name="Ênfase4 8" xfId="344"/>
    <cellStyle name="Ênfase4 9" xfId="345"/>
    <cellStyle name="Ênfase5 10" xfId="346"/>
    <cellStyle name="Ênfase5 11" xfId="347"/>
    <cellStyle name="Ênfase5 2" xfId="348"/>
    <cellStyle name="Ênfase5 3" xfId="349"/>
    <cellStyle name="Ênfase5 4" xfId="350"/>
    <cellStyle name="Ênfase5 5" xfId="351"/>
    <cellStyle name="Ênfase5 6" xfId="352"/>
    <cellStyle name="Ênfase5 7" xfId="353"/>
    <cellStyle name="Ênfase5 8" xfId="354"/>
    <cellStyle name="Ênfase5 9" xfId="355"/>
    <cellStyle name="Ênfase6 10" xfId="356"/>
    <cellStyle name="Ênfase6 11" xfId="357"/>
    <cellStyle name="Ênfase6 2" xfId="358"/>
    <cellStyle name="Ênfase6 3" xfId="359"/>
    <cellStyle name="Ênfase6 4" xfId="360"/>
    <cellStyle name="Ênfase6 5" xfId="361"/>
    <cellStyle name="Ênfase6 6" xfId="362"/>
    <cellStyle name="Ênfase6 7" xfId="363"/>
    <cellStyle name="Ênfase6 8" xfId="364"/>
    <cellStyle name="Ênfase6 9" xfId="365"/>
    <cellStyle name="Entrada 10" xfId="366"/>
    <cellStyle name="Entrada 10 2" xfId="3227"/>
    <cellStyle name="Entrada 10 2 2" xfId="3446"/>
    <cellStyle name="Entrada 11" xfId="367"/>
    <cellStyle name="Entrada 11 2" xfId="3228"/>
    <cellStyle name="Entrada 11 2 2" xfId="3445"/>
    <cellStyle name="Entrada 2" xfId="368"/>
    <cellStyle name="Entrada 2 2" xfId="3229"/>
    <cellStyle name="Entrada 2 2 2" xfId="3444"/>
    <cellStyle name="Entrada 3" xfId="369"/>
    <cellStyle name="Entrada 3 2" xfId="3230"/>
    <cellStyle name="Entrada 3 2 2" xfId="3443"/>
    <cellStyle name="Entrada 4" xfId="370"/>
    <cellStyle name="Entrada 4 2" xfId="3231"/>
    <cellStyle name="Entrada 4 2 2" xfId="3442"/>
    <cellStyle name="Entrada 5" xfId="371"/>
    <cellStyle name="Entrada 5 2" xfId="3232"/>
    <cellStyle name="Entrada 5 2 2" xfId="3441"/>
    <cellStyle name="Entrada 6" xfId="372"/>
    <cellStyle name="Entrada 6 2" xfId="3233"/>
    <cellStyle name="Entrada 6 2 2" xfId="3440"/>
    <cellStyle name="Entrada 7" xfId="373"/>
    <cellStyle name="Entrada 7 2" xfId="3234"/>
    <cellStyle name="Entrada 7 2 2" xfId="3439"/>
    <cellStyle name="Entrada 8" xfId="374"/>
    <cellStyle name="Entrada 8 2" xfId="3235"/>
    <cellStyle name="Entrada 8 2 2" xfId="3438"/>
    <cellStyle name="Entrada 9" xfId="375"/>
    <cellStyle name="Entrada 9 2" xfId="3236"/>
    <cellStyle name="Entrada 9 2 2" xfId="3437"/>
    <cellStyle name="Estilo 1" xfId="376"/>
    <cellStyle name="Estilo 2" xfId="377"/>
    <cellStyle name="Estilo 3" xfId="378"/>
    <cellStyle name="Estilo 4" xfId="379"/>
    <cellStyle name="Estilo 5" xfId="380"/>
    <cellStyle name="Estilo 6" xfId="381"/>
    <cellStyle name="Estilo 7" xfId="382"/>
    <cellStyle name="Estilo 8" xfId="383"/>
    <cellStyle name="Euro" xfId="384"/>
    <cellStyle name="Euro 2" xfId="385"/>
    <cellStyle name="Euro 3" xfId="386"/>
    <cellStyle name="Excel Built-in Normal" xfId="387"/>
    <cellStyle name="Excel Built-in Normal 2" xfId="388"/>
    <cellStyle name="Excel_BuiltIn_Comma 8" xfId="389"/>
    <cellStyle name="Explanatory Text" xfId="390"/>
    <cellStyle name="Fixed" xfId="391"/>
    <cellStyle name="Fixo" xfId="392"/>
    <cellStyle name="Good" xfId="393"/>
    <cellStyle name="Heading 1" xfId="394"/>
    <cellStyle name="Heading 2" xfId="395"/>
    <cellStyle name="Heading 3" xfId="396"/>
    <cellStyle name="Heading 4" xfId="397"/>
    <cellStyle name="Heading1" xfId="398"/>
    <cellStyle name="Heading2" xfId="399"/>
    <cellStyle name="Hyperlink 2" xfId="400"/>
    <cellStyle name="Incorreto 10" xfId="401"/>
    <cellStyle name="Incorreto 11" xfId="402"/>
    <cellStyle name="Incorreto 2" xfId="403"/>
    <cellStyle name="Incorreto 3" xfId="404"/>
    <cellStyle name="Incorreto 4" xfId="405"/>
    <cellStyle name="Incorreto 5" xfId="406"/>
    <cellStyle name="Incorreto 6" xfId="407"/>
    <cellStyle name="Incorreto 7" xfId="408"/>
    <cellStyle name="Incorreto 8" xfId="409"/>
    <cellStyle name="Incorreto 9" xfId="410"/>
    <cellStyle name="Indefinido" xfId="411"/>
    <cellStyle name="Input" xfId="412"/>
    <cellStyle name="Input 2" xfId="3237"/>
    <cellStyle name="Input 2 2" xfId="3436"/>
    <cellStyle name="LINHA - NORM" xfId="413"/>
    <cellStyle name="Linked Cell" xfId="414"/>
    <cellStyle name="Moeda 10" xfId="416"/>
    <cellStyle name="Moeda 11" xfId="415"/>
    <cellStyle name="Moeda 12" xfId="3210"/>
    <cellStyle name="Moeda 13" xfId="3215"/>
    <cellStyle name="Moeda 2" xfId="417"/>
    <cellStyle name="Moeda 2 2" xfId="418"/>
    <cellStyle name="Moeda 2 2 2" xfId="419"/>
    <cellStyle name="Moeda 2 2 3" xfId="420"/>
    <cellStyle name="Moeda 2 2 4" xfId="421"/>
    <cellStyle name="Moeda 2 2 5" xfId="422"/>
    <cellStyle name="Moeda 2 3" xfId="423"/>
    <cellStyle name="Moeda 2 4" xfId="424"/>
    <cellStyle name="Moeda 2 5" xfId="425"/>
    <cellStyle name="Moeda 2 6" xfId="426"/>
    <cellStyle name="Moeda 2 7" xfId="3238"/>
    <cellStyle name="Moeda 2 8" xfId="3337"/>
    <cellStyle name="Moeda 2_Base SINAPI" xfId="427"/>
    <cellStyle name="Moeda 3" xfId="428"/>
    <cellStyle name="Moeda 3 2" xfId="429"/>
    <cellStyle name="Moeda 3 2 2" xfId="430"/>
    <cellStyle name="Moeda 3 2 3" xfId="431"/>
    <cellStyle name="Moeda 3 2 4" xfId="432"/>
    <cellStyle name="Moeda 3 3" xfId="433"/>
    <cellStyle name="Moeda 3 4" xfId="434"/>
    <cellStyle name="Moeda 3 5" xfId="435"/>
    <cellStyle name="Moeda 3 6" xfId="436"/>
    <cellStyle name="Moeda 3 7" xfId="437"/>
    <cellStyle name="Moeda 4" xfId="438"/>
    <cellStyle name="Moeda 4 2" xfId="439"/>
    <cellStyle name="Moeda 4 2 2" xfId="440"/>
    <cellStyle name="Moeda 4 2 3" xfId="441"/>
    <cellStyle name="Moeda 4 2 4" xfId="442"/>
    <cellStyle name="Moeda 4 3" xfId="443"/>
    <cellStyle name="Moeda 4 4" xfId="444"/>
    <cellStyle name="Moeda 4 5" xfId="445"/>
    <cellStyle name="Moeda 5" xfId="446"/>
    <cellStyle name="Moeda 5 2" xfId="447"/>
    <cellStyle name="Moeda 5 2 2" xfId="448"/>
    <cellStyle name="Moeda 5 2 3" xfId="449"/>
    <cellStyle name="Moeda 5 2 4" xfId="450"/>
    <cellStyle name="Moeda 5 3" xfId="451"/>
    <cellStyle name="Moeda 5 4" xfId="452"/>
    <cellStyle name="Moeda 5 5" xfId="453"/>
    <cellStyle name="Moeda 6" xfId="454"/>
    <cellStyle name="Moeda 6 2" xfId="455"/>
    <cellStyle name="Moeda 6 2 2" xfId="456"/>
    <cellStyle name="Moeda 6 2 3" xfId="457"/>
    <cellStyle name="Moeda 6 2 4" xfId="458"/>
    <cellStyle name="Moeda 6 3" xfId="459"/>
    <cellStyle name="Moeda 6 4" xfId="460"/>
    <cellStyle name="Moeda 6 5" xfId="461"/>
    <cellStyle name="Moeda 7" xfId="462"/>
    <cellStyle name="Moeda 7 2" xfId="463"/>
    <cellStyle name="Moeda 7 2 2" xfId="464"/>
    <cellStyle name="Moeda 7 2 3" xfId="465"/>
    <cellStyle name="Moeda 7 2 4" xfId="466"/>
    <cellStyle name="Moeda 7 3" xfId="467"/>
    <cellStyle name="Moeda 7 4" xfId="468"/>
    <cellStyle name="Moeda 7 5" xfId="469"/>
    <cellStyle name="Moeda 8" xfId="470"/>
    <cellStyle name="Moeda 8 2" xfId="471"/>
    <cellStyle name="Moeda 8 3" xfId="472"/>
    <cellStyle name="Moeda 8 4" xfId="473"/>
    <cellStyle name="Moeda 9" xfId="474"/>
    <cellStyle name="Moeda 9 2" xfId="475"/>
    <cellStyle name="Moeda 9 3" xfId="476"/>
    <cellStyle name="Moeda 9 4" xfId="477"/>
    <cellStyle name="Moeda0" xfId="478"/>
    <cellStyle name="mpenho" xfId="479"/>
    <cellStyle name="Neutra 10" xfId="480"/>
    <cellStyle name="Neutra 11" xfId="481"/>
    <cellStyle name="Neutra 2" xfId="482"/>
    <cellStyle name="Neutra 3" xfId="483"/>
    <cellStyle name="Neutra 4" xfId="484"/>
    <cellStyle name="Neutra 5" xfId="485"/>
    <cellStyle name="Neutra 6" xfId="486"/>
    <cellStyle name="Neutra 7" xfId="487"/>
    <cellStyle name="Neutra 8" xfId="488"/>
    <cellStyle name="Neutra 9" xfId="489"/>
    <cellStyle name="Neutral" xfId="490"/>
    <cellStyle name="Normal" xfId="0" builtinId="0"/>
    <cellStyle name="Normal 10" xfId="491"/>
    <cellStyle name="Normal 10 10" xfId="492"/>
    <cellStyle name="Normal 10 11" xfId="493"/>
    <cellStyle name="Normal 10 12" xfId="494"/>
    <cellStyle name="Normal 10 13" xfId="495"/>
    <cellStyle name="Normal 10 14" xfId="496"/>
    <cellStyle name="Normal 10 15" xfId="497"/>
    <cellStyle name="Normal 10 16" xfId="498"/>
    <cellStyle name="Normal 10 17" xfId="499"/>
    <cellStyle name="Normal 10 18" xfId="500"/>
    <cellStyle name="Normal 10 19" xfId="501"/>
    <cellStyle name="Normal 10 2" xfId="502"/>
    <cellStyle name="Normal 10 2 2" xfId="503"/>
    <cellStyle name="Normal 10 2 2 2" xfId="504"/>
    <cellStyle name="Normal 10 2 2 3" xfId="505"/>
    <cellStyle name="Normal 10 3" xfId="506"/>
    <cellStyle name="Normal 10 4" xfId="507"/>
    <cellStyle name="Normal 10 5" xfId="508"/>
    <cellStyle name="Normal 10 6" xfId="509"/>
    <cellStyle name="Normal 10 7" xfId="510"/>
    <cellStyle name="Normal 10 8" xfId="511"/>
    <cellStyle name="Normal 10 9" xfId="512"/>
    <cellStyle name="Normal 11" xfId="513"/>
    <cellStyle name="Normal 11 10" xfId="514"/>
    <cellStyle name="Normal 11 10 2" xfId="515"/>
    <cellStyle name="Normal 11 11" xfId="516"/>
    <cellStyle name="Normal 11 12" xfId="517"/>
    <cellStyle name="Normal 11 13" xfId="518"/>
    <cellStyle name="Normal 11 14" xfId="519"/>
    <cellStyle name="Normal 11 15" xfId="520"/>
    <cellStyle name="Normal 11 16" xfId="521"/>
    <cellStyle name="Normal 11 17" xfId="522"/>
    <cellStyle name="Normal 11 18" xfId="523"/>
    <cellStyle name="Normal 11 19" xfId="524"/>
    <cellStyle name="Normal 11 2" xfId="525"/>
    <cellStyle name="Normal 11 3" xfId="526"/>
    <cellStyle name="Normal 11 4" xfId="527"/>
    <cellStyle name="Normal 11 5" xfId="528"/>
    <cellStyle name="Normal 11 6" xfId="529"/>
    <cellStyle name="Normal 11 7" xfId="530"/>
    <cellStyle name="Normal 11 8" xfId="531"/>
    <cellStyle name="Normal 11 9" xfId="532"/>
    <cellStyle name="Normal 12" xfId="533"/>
    <cellStyle name="Normal 12 10" xfId="534"/>
    <cellStyle name="Normal 12 11" xfId="535"/>
    <cellStyle name="Normal 12 12" xfId="536"/>
    <cellStyle name="Normal 12 13" xfId="537"/>
    <cellStyle name="Normal 12 14" xfId="538"/>
    <cellStyle name="Normal 12 15" xfId="539"/>
    <cellStyle name="Normal 12 16" xfId="540"/>
    <cellStyle name="Normal 12 17" xfId="541"/>
    <cellStyle name="Normal 12 18" xfId="542"/>
    <cellStyle name="Normal 12 19" xfId="543"/>
    <cellStyle name="Normal 12 2" xfId="544"/>
    <cellStyle name="Normal 12 20" xfId="545"/>
    <cellStyle name="Normal 12 21" xfId="546"/>
    <cellStyle name="Normal 12 3" xfId="547"/>
    <cellStyle name="Normal 12 4" xfId="548"/>
    <cellStyle name="Normal 12 5" xfId="549"/>
    <cellStyle name="Normal 12 6" xfId="550"/>
    <cellStyle name="Normal 12 7" xfId="551"/>
    <cellStyle name="Normal 12 8" xfId="552"/>
    <cellStyle name="Normal 12 9" xfId="553"/>
    <cellStyle name="Normal 127" xfId="554"/>
    <cellStyle name="Normal 13" xfId="555"/>
    <cellStyle name="Normal 13 10" xfId="556"/>
    <cellStyle name="Normal 13 11" xfId="557"/>
    <cellStyle name="Normal 13 12" xfId="558"/>
    <cellStyle name="Normal 13 13" xfId="559"/>
    <cellStyle name="Normal 13 14" xfId="560"/>
    <cellStyle name="Normal 13 15" xfId="561"/>
    <cellStyle name="Normal 13 16" xfId="562"/>
    <cellStyle name="Normal 13 17" xfId="563"/>
    <cellStyle name="Normal 13 18" xfId="564"/>
    <cellStyle name="Normal 13 19" xfId="565"/>
    <cellStyle name="Normal 13 2" xfId="566"/>
    <cellStyle name="Normal 13 2 2" xfId="567"/>
    <cellStyle name="Normal 13 3" xfId="568"/>
    <cellStyle name="Normal 13 3 2" xfId="569"/>
    <cellStyle name="Normal 13 4" xfId="570"/>
    <cellStyle name="Normal 13 5" xfId="571"/>
    <cellStyle name="Normal 13 6" xfId="572"/>
    <cellStyle name="Normal 13 7" xfId="573"/>
    <cellStyle name="Normal 13 8" xfId="574"/>
    <cellStyle name="Normal 13 9" xfId="575"/>
    <cellStyle name="Normal 13_Planilha MODELO" xfId="576"/>
    <cellStyle name="Normal 14" xfId="577"/>
    <cellStyle name="Normal 14 10" xfId="578"/>
    <cellStyle name="Normal 14 11" xfId="579"/>
    <cellStyle name="Normal 14 12" xfId="580"/>
    <cellStyle name="Normal 14 13" xfId="581"/>
    <cellStyle name="Normal 14 14" xfId="582"/>
    <cellStyle name="Normal 14 15" xfId="583"/>
    <cellStyle name="Normal 14 16" xfId="584"/>
    <cellStyle name="Normal 14 17" xfId="585"/>
    <cellStyle name="Normal 14 18" xfId="586"/>
    <cellStyle name="Normal 14 19" xfId="587"/>
    <cellStyle name="Normal 14 2" xfId="588"/>
    <cellStyle name="Normal 14 3" xfId="589"/>
    <cellStyle name="Normal 14 4" xfId="590"/>
    <cellStyle name="Normal 14 5" xfId="591"/>
    <cellStyle name="Normal 14 6" xfId="592"/>
    <cellStyle name="Normal 14 7" xfId="593"/>
    <cellStyle name="Normal 14 8" xfId="594"/>
    <cellStyle name="Normal 14 9" xfId="595"/>
    <cellStyle name="Normal 15" xfId="596"/>
    <cellStyle name="Normal 15 10" xfId="597"/>
    <cellStyle name="Normal 15 11" xfId="598"/>
    <cellStyle name="Normal 15 12" xfId="599"/>
    <cellStyle name="Normal 15 13" xfId="600"/>
    <cellStyle name="Normal 15 14" xfId="601"/>
    <cellStyle name="Normal 15 15" xfId="602"/>
    <cellStyle name="Normal 15 16" xfId="603"/>
    <cellStyle name="Normal 15 17" xfId="604"/>
    <cellStyle name="Normal 15 18" xfId="605"/>
    <cellStyle name="Normal 15 19" xfId="606"/>
    <cellStyle name="Normal 15 2" xfId="607"/>
    <cellStyle name="Normal 15 20" xfId="608"/>
    <cellStyle name="Normal 15 3" xfId="609"/>
    <cellStyle name="Normal 15 4" xfId="610"/>
    <cellStyle name="Normal 15 5" xfId="611"/>
    <cellStyle name="Normal 15 6" xfId="612"/>
    <cellStyle name="Normal 15 7" xfId="613"/>
    <cellStyle name="Normal 15 8" xfId="614"/>
    <cellStyle name="Normal 15 9" xfId="615"/>
    <cellStyle name="Normal 15_Planilha MODELO" xfId="616"/>
    <cellStyle name="Normal 16" xfId="617"/>
    <cellStyle name="Normal 16 10" xfId="618"/>
    <cellStyle name="Normal 16 11" xfId="619"/>
    <cellStyle name="Normal 16 12" xfId="620"/>
    <cellStyle name="Normal 16 13" xfId="621"/>
    <cellStyle name="Normal 16 14" xfId="622"/>
    <cellStyle name="Normal 16 15" xfId="623"/>
    <cellStyle name="Normal 16 16" xfId="624"/>
    <cellStyle name="Normal 16 17" xfId="625"/>
    <cellStyle name="Normal 16 18" xfId="626"/>
    <cellStyle name="Normal 16 19" xfId="627"/>
    <cellStyle name="Normal 16 2" xfId="628"/>
    <cellStyle name="Normal 16 3" xfId="629"/>
    <cellStyle name="Normal 16 4" xfId="630"/>
    <cellStyle name="Normal 16 5" xfId="631"/>
    <cellStyle name="Normal 16 6" xfId="632"/>
    <cellStyle name="Normal 16 7" xfId="633"/>
    <cellStyle name="Normal 16 8" xfId="634"/>
    <cellStyle name="Normal 16 9" xfId="635"/>
    <cellStyle name="Normal 17" xfId="636"/>
    <cellStyle name="Normal 17 10" xfId="637"/>
    <cellStyle name="Normal 17 11" xfId="638"/>
    <cellStyle name="Normal 17 12" xfId="639"/>
    <cellStyle name="Normal 17 13" xfId="640"/>
    <cellStyle name="Normal 17 14" xfId="641"/>
    <cellStyle name="Normal 17 15" xfId="642"/>
    <cellStyle name="Normal 17 16" xfId="643"/>
    <cellStyle name="Normal 17 17" xfId="644"/>
    <cellStyle name="Normal 17 18" xfId="645"/>
    <cellStyle name="Normal 17 19" xfId="646"/>
    <cellStyle name="Normal 17 2" xfId="647"/>
    <cellStyle name="Normal 17 3" xfId="648"/>
    <cellStyle name="Normal 17 4" xfId="649"/>
    <cellStyle name="Normal 17 5" xfId="650"/>
    <cellStyle name="Normal 17 6" xfId="651"/>
    <cellStyle name="Normal 17 7" xfId="652"/>
    <cellStyle name="Normal 17 8" xfId="653"/>
    <cellStyle name="Normal 17 9" xfId="654"/>
    <cellStyle name="Normal 17_Planilha MODELO" xfId="655"/>
    <cellStyle name="Normal 18" xfId="656"/>
    <cellStyle name="Normal 18 10" xfId="657"/>
    <cellStyle name="Normal 18 11" xfId="658"/>
    <cellStyle name="Normal 18 12" xfId="659"/>
    <cellStyle name="Normal 18 13" xfId="660"/>
    <cellStyle name="Normal 18 14" xfId="661"/>
    <cellStyle name="Normal 18 15" xfId="662"/>
    <cellStyle name="Normal 18 16" xfId="663"/>
    <cellStyle name="Normal 18 17" xfId="664"/>
    <cellStyle name="Normal 18 18" xfId="665"/>
    <cellStyle name="Normal 18 19" xfId="666"/>
    <cellStyle name="Normal 18 2" xfId="667"/>
    <cellStyle name="Normal 18 3" xfId="668"/>
    <cellStyle name="Normal 18 4" xfId="669"/>
    <cellStyle name="Normal 18 5" xfId="670"/>
    <cellStyle name="Normal 18 6" xfId="671"/>
    <cellStyle name="Normal 18 7" xfId="672"/>
    <cellStyle name="Normal 18 8" xfId="673"/>
    <cellStyle name="Normal 18 9" xfId="674"/>
    <cellStyle name="Normal 19" xfId="675"/>
    <cellStyle name="Normal 19 10" xfId="676"/>
    <cellStyle name="Normal 19 11" xfId="677"/>
    <cellStyle name="Normal 19 12" xfId="678"/>
    <cellStyle name="Normal 19 13" xfId="679"/>
    <cellStyle name="Normal 19 14" xfId="680"/>
    <cellStyle name="Normal 19 15" xfId="681"/>
    <cellStyle name="Normal 19 16" xfId="682"/>
    <cellStyle name="Normal 19 17" xfId="683"/>
    <cellStyle name="Normal 19 18" xfId="684"/>
    <cellStyle name="Normal 19 19" xfId="685"/>
    <cellStyle name="Normal 19 2" xfId="686"/>
    <cellStyle name="Normal 19 3" xfId="687"/>
    <cellStyle name="Normal 19 4" xfId="688"/>
    <cellStyle name="Normal 19 5" xfId="689"/>
    <cellStyle name="Normal 19 6" xfId="690"/>
    <cellStyle name="Normal 19 7" xfId="691"/>
    <cellStyle name="Normal 19 8" xfId="692"/>
    <cellStyle name="Normal 19 9" xfId="693"/>
    <cellStyle name="Normal 2" xfId="694"/>
    <cellStyle name="Normal 2 10" xfId="695"/>
    <cellStyle name="Normal 2 11" xfId="696"/>
    <cellStyle name="Normal 2 12" xfId="697"/>
    <cellStyle name="Normal 2 13" xfId="698"/>
    <cellStyle name="Normal 2 14" xfId="699"/>
    <cellStyle name="Normal 2 15" xfId="700"/>
    <cellStyle name="Normal 2 16" xfId="701"/>
    <cellStyle name="Normal 2 17" xfId="3207"/>
    <cellStyle name="Normal 2 18" xfId="3239"/>
    <cellStyle name="Normal 2 19" xfId="3338"/>
    <cellStyle name="Normal 2 2" xfId="702"/>
    <cellStyle name="Normal 2 2 2" xfId="703"/>
    <cellStyle name="Normal 2 2 2 2" xfId="704"/>
    <cellStyle name="Normal 2 2 2 2 2" xfId="705"/>
    <cellStyle name="Normal 2 2 2 2 2 2" xfId="706"/>
    <cellStyle name="Normal 2 2 3" xfId="707"/>
    <cellStyle name="Normal 2 2_CT 0295.542-74_PLS 01" xfId="708"/>
    <cellStyle name="Normal 2 3" xfId="709"/>
    <cellStyle name="Normal 2 3 2" xfId="710"/>
    <cellStyle name="Normal 2 3 3" xfId="711"/>
    <cellStyle name="Normal 2 3 4" xfId="712"/>
    <cellStyle name="Normal 2 3 5" xfId="713"/>
    <cellStyle name="Normal 2 3 6" xfId="714"/>
    <cellStyle name="Normal 2 3 7" xfId="715"/>
    <cellStyle name="Normal 2 4" xfId="716"/>
    <cellStyle name="Normal 2 4 2" xfId="717"/>
    <cellStyle name="Normal 2 4 3" xfId="3211"/>
    <cellStyle name="Normal 2 5" xfId="718"/>
    <cellStyle name="Normal 2 6" xfId="719"/>
    <cellStyle name="Normal 2 7" xfId="720"/>
    <cellStyle name="Normal 2 8" xfId="721"/>
    <cellStyle name="Normal 2 9" xfId="722"/>
    <cellStyle name="Normal 20" xfId="723"/>
    <cellStyle name="Normal 20 10" xfId="724"/>
    <cellStyle name="Normal 20 11" xfId="725"/>
    <cellStyle name="Normal 20 12" xfId="726"/>
    <cellStyle name="Normal 20 13" xfId="727"/>
    <cellStyle name="Normal 20 14" xfId="728"/>
    <cellStyle name="Normal 20 15" xfId="729"/>
    <cellStyle name="Normal 20 16" xfId="730"/>
    <cellStyle name="Normal 20 17" xfId="731"/>
    <cellStyle name="Normal 20 18" xfId="732"/>
    <cellStyle name="Normal 20 19" xfId="733"/>
    <cellStyle name="Normal 20 2" xfId="734"/>
    <cellStyle name="Normal 20 20" xfId="735"/>
    <cellStyle name="Normal 20 21" xfId="736"/>
    <cellStyle name="Normal 20 22" xfId="737"/>
    <cellStyle name="Normal 20 23" xfId="738"/>
    <cellStyle name="Normal 20 24" xfId="739"/>
    <cellStyle name="Normal 20 25" xfId="740"/>
    <cellStyle name="Normal 20 26" xfId="741"/>
    <cellStyle name="Normal 20 27" xfId="742"/>
    <cellStyle name="Normal 20 28" xfId="743"/>
    <cellStyle name="Normal 20 29" xfId="744"/>
    <cellStyle name="Normal 20 3" xfId="745"/>
    <cellStyle name="Normal 20 4" xfId="746"/>
    <cellStyle name="Normal 20 5" xfId="747"/>
    <cellStyle name="Normal 20 6" xfId="748"/>
    <cellStyle name="Normal 20 7" xfId="749"/>
    <cellStyle name="Normal 20 8" xfId="750"/>
    <cellStyle name="Normal 20 9" xfId="751"/>
    <cellStyle name="Normal 21" xfId="752"/>
    <cellStyle name="Normal 21 10" xfId="753"/>
    <cellStyle name="Normal 21 11" xfId="754"/>
    <cellStyle name="Normal 21 12" xfId="755"/>
    <cellStyle name="Normal 21 13" xfId="756"/>
    <cellStyle name="Normal 21 14" xfId="757"/>
    <cellStyle name="Normal 21 15" xfId="758"/>
    <cellStyle name="Normal 21 16" xfId="759"/>
    <cellStyle name="Normal 21 17" xfId="760"/>
    <cellStyle name="Normal 21 18" xfId="761"/>
    <cellStyle name="Normal 21 19" xfId="762"/>
    <cellStyle name="Normal 21 2" xfId="763"/>
    <cellStyle name="Normal 21 20" xfId="764"/>
    <cellStyle name="Normal 21 21" xfId="765"/>
    <cellStyle name="Normal 21 22" xfId="766"/>
    <cellStyle name="Normal 21 23" xfId="767"/>
    <cellStyle name="Normal 21 24" xfId="768"/>
    <cellStyle name="Normal 21 25" xfId="769"/>
    <cellStyle name="Normal 21 26" xfId="770"/>
    <cellStyle name="Normal 21 27" xfId="771"/>
    <cellStyle name="Normal 21 28" xfId="772"/>
    <cellStyle name="Normal 21 29" xfId="773"/>
    <cellStyle name="Normal 21 3" xfId="774"/>
    <cellStyle name="Normal 21 4" xfId="775"/>
    <cellStyle name="Normal 21 5" xfId="776"/>
    <cellStyle name="Normal 21 6" xfId="777"/>
    <cellStyle name="Normal 21 7" xfId="778"/>
    <cellStyle name="Normal 21 8" xfId="779"/>
    <cellStyle name="Normal 21 9" xfId="780"/>
    <cellStyle name="Normal 22" xfId="781"/>
    <cellStyle name="Normal 22 10" xfId="782"/>
    <cellStyle name="Normal 22 11" xfId="783"/>
    <cellStyle name="Normal 22 12" xfId="784"/>
    <cellStyle name="Normal 22 13" xfId="785"/>
    <cellStyle name="Normal 22 14" xfId="786"/>
    <cellStyle name="Normal 22 15" xfId="787"/>
    <cellStyle name="Normal 22 16" xfId="788"/>
    <cellStyle name="Normal 22 17" xfId="789"/>
    <cellStyle name="Normal 22 18" xfId="790"/>
    <cellStyle name="Normal 22 19" xfId="791"/>
    <cellStyle name="Normal 22 2" xfId="792"/>
    <cellStyle name="Normal 22 20" xfId="793"/>
    <cellStyle name="Normal 22 21" xfId="794"/>
    <cellStyle name="Normal 22 22" xfId="795"/>
    <cellStyle name="Normal 22 23" xfId="796"/>
    <cellStyle name="Normal 22 24" xfId="797"/>
    <cellStyle name="Normal 22 25" xfId="798"/>
    <cellStyle name="Normal 22 26" xfId="799"/>
    <cellStyle name="Normal 22 27" xfId="800"/>
    <cellStyle name="Normal 22 28" xfId="801"/>
    <cellStyle name="Normal 22 29" xfId="802"/>
    <cellStyle name="Normal 22 3" xfId="803"/>
    <cellStyle name="Normal 22 4" xfId="804"/>
    <cellStyle name="Normal 22 5" xfId="805"/>
    <cellStyle name="Normal 22 6" xfId="806"/>
    <cellStyle name="Normal 22 7" xfId="807"/>
    <cellStyle name="Normal 22 8" xfId="808"/>
    <cellStyle name="Normal 22 9" xfId="809"/>
    <cellStyle name="Normal 23" xfId="810"/>
    <cellStyle name="Normal 23 10" xfId="811"/>
    <cellStyle name="Normal 23 11" xfId="812"/>
    <cellStyle name="Normal 23 12" xfId="813"/>
    <cellStyle name="Normal 23 13" xfId="814"/>
    <cellStyle name="Normal 23 14" xfId="815"/>
    <cellStyle name="Normal 23 15" xfId="816"/>
    <cellStyle name="Normal 23 16" xfId="817"/>
    <cellStyle name="Normal 23 17" xfId="818"/>
    <cellStyle name="Normal 23 18" xfId="819"/>
    <cellStyle name="Normal 23 19" xfId="820"/>
    <cellStyle name="Normal 23 2" xfId="821"/>
    <cellStyle name="Normal 23 20" xfId="822"/>
    <cellStyle name="Normal 23 21" xfId="823"/>
    <cellStyle name="Normal 23 3" xfId="824"/>
    <cellStyle name="Normal 23 4" xfId="825"/>
    <cellStyle name="Normal 23 5" xfId="826"/>
    <cellStyle name="Normal 23 6" xfId="827"/>
    <cellStyle name="Normal 23 7" xfId="828"/>
    <cellStyle name="Normal 23 8" xfId="829"/>
    <cellStyle name="Normal 23 9" xfId="830"/>
    <cellStyle name="Normal 24" xfId="831"/>
    <cellStyle name="Normal 24 10" xfId="832"/>
    <cellStyle name="Normal 24 11" xfId="833"/>
    <cellStyle name="Normal 24 12" xfId="834"/>
    <cellStyle name="Normal 24 13" xfId="835"/>
    <cellStyle name="Normal 24 14" xfId="836"/>
    <cellStyle name="Normal 24 15" xfId="837"/>
    <cellStyle name="Normal 24 16" xfId="838"/>
    <cellStyle name="Normal 24 17" xfId="839"/>
    <cellStyle name="Normal 24 18" xfId="840"/>
    <cellStyle name="Normal 24 19" xfId="841"/>
    <cellStyle name="Normal 24 2" xfId="842"/>
    <cellStyle name="Normal 24 20" xfId="843"/>
    <cellStyle name="Normal 24 21" xfId="844"/>
    <cellStyle name="Normal 24 3" xfId="845"/>
    <cellStyle name="Normal 24 4" xfId="846"/>
    <cellStyle name="Normal 24 5" xfId="847"/>
    <cellStyle name="Normal 24 6" xfId="848"/>
    <cellStyle name="Normal 24 7" xfId="849"/>
    <cellStyle name="Normal 24 8" xfId="850"/>
    <cellStyle name="Normal 24 9" xfId="851"/>
    <cellStyle name="Normal 25" xfId="852"/>
    <cellStyle name="Normal 25 10" xfId="853"/>
    <cellStyle name="Normal 25 11" xfId="854"/>
    <cellStyle name="Normal 25 12" xfId="855"/>
    <cellStyle name="Normal 25 13" xfId="856"/>
    <cellStyle name="Normal 25 14" xfId="857"/>
    <cellStyle name="Normal 25 15" xfId="858"/>
    <cellStyle name="Normal 25 16" xfId="859"/>
    <cellStyle name="Normal 25 2" xfId="860"/>
    <cellStyle name="Normal 25 3" xfId="861"/>
    <cellStyle name="Normal 25 4" xfId="862"/>
    <cellStyle name="Normal 25 5" xfId="863"/>
    <cellStyle name="Normal 25 6" xfId="864"/>
    <cellStyle name="Normal 25 7" xfId="865"/>
    <cellStyle name="Normal 25 8" xfId="866"/>
    <cellStyle name="Normal 25 9" xfId="867"/>
    <cellStyle name="Normal 26" xfId="868"/>
    <cellStyle name="Normal 26 10" xfId="869"/>
    <cellStyle name="Normal 26 11" xfId="870"/>
    <cellStyle name="Normal 26 12" xfId="871"/>
    <cellStyle name="Normal 26 13" xfId="872"/>
    <cellStyle name="Normal 26 14" xfId="873"/>
    <cellStyle name="Normal 26 15" xfId="874"/>
    <cellStyle name="Normal 26 16" xfId="875"/>
    <cellStyle name="Normal 26 2" xfId="876"/>
    <cellStyle name="Normal 26 3" xfId="877"/>
    <cellStyle name="Normal 26 4" xfId="878"/>
    <cellStyle name="Normal 26 5" xfId="879"/>
    <cellStyle name="Normal 26 6" xfId="880"/>
    <cellStyle name="Normal 26 7" xfId="881"/>
    <cellStyle name="Normal 26 8" xfId="882"/>
    <cellStyle name="Normal 26 9" xfId="883"/>
    <cellStyle name="Normal 27" xfId="884"/>
    <cellStyle name="Normal 27 10" xfId="885"/>
    <cellStyle name="Normal 27 11" xfId="886"/>
    <cellStyle name="Normal 27 12" xfId="887"/>
    <cellStyle name="Normal 27 13" xfId="888"/>
    <cellStyle name="Normal 27 14" xfId="889"/>
    <cellStyle name="Normal 27 15" xfId="890"/>
    <cellStyle name="Normal 27 2" xfId="891"/>
    <cellStyle name="Normal 27 3" xfId="892"/>
    <cellStyle name="Normal 27 4" xfId="893"/>
    <cellStyle name="Normal 27 5" xfId="894"/>
    <cellStyle name="Normal 27 6" xfId="895"/>
    <cellStyle name="Normal 27 7" xfId="896"/>
    <cellStyle name="Normal 27 8" xfId="897"/>
    <cellStyle name="Normal 27 9" xfId="898"/>
    <cellStyle name="Normal 28" xfId="899"/>
    <cellStyle name="Normal 28 10" xfId="900"/>
    <cellStyle name="Normal 28 11" xfId="901"/>
    <cellStyle name="Normal 28 12" xfId="902"/>
    <cellStyle name="Normal 28 13" xfId="903"/>
    <cellStyle name="Normal 28 14" xfId="904"/>
    <cellStyle name="Normal 28 15" xfId="905"/>
    <cellStyle name="Normal 28 16" xfId="906"/>
    <cellStyle name="Normal 28 2" xfId="907"/>
    <cellStyle name="Normal 28 3" xfId="908"/>
    <cellStyle name="Normal 28 4" xfId="909"/>
    <cellStyle name="Normal 28 5" xfId="910"/>
    <cellStyle name="Normal 28 6" xfId="911"/>
    <cellStyle name="Normal 28 7" xfId="912"/>
    <cellStyle name="Normal 28 8" xfId="913"/>
    <cellStyle name="Normal 28 9" xfId="914"/>
    <cellStyle name="Normal 29" xfId="915"/>
    <cellStyle name="Normal 3" xfId="2"/>
    <cellStyle name="Normal 3 10" xfId="916"/>
    <cellStyle name="Normal 3 11" xfId="917"/>
    <cellStyle name="Normal 3 12" xfId="918"/>
    <cellStyle name="Normal 3 13" xfId="919"/>
    <cellStyle name="Normal 3 14" xfId="920"/>
    <cellStyle name="Normal 3 15" xfId="921"/>
    <cellStyle name="Normal 3 16" xfId="922"/>
    <cellStyle name="Normal 3 17" xfId="923"/>
    <cellStyle name="Normal 3 18" xfId="924"/>
    <cellStyle name="Normal 3 19" xfId="925"/>
    <cellStyle name="Normal 3 2" xfId="926"/>
    <cellStyle name="Normal 3 2 2" xfId="927"/>
    <cellStyle name="Normal 3 2 2 2" xfId="928"/>
    <cellStyle name="Normal 3 2 2 3" xfId="929"/>
    <cellStyle name="Normal 3 2_Planilha MODELO" xfId="930"/>
    <cellStyle name="Normal 3 20" xfId="931"/>
    <cellStyle name="Normal 3 21" xfId="932"/>
    <cellStyle name="Normal 3 22" xfId="933"/>
    <cellStyle name="Normal 3 23" xfId="934"/>
    <cellStyle name="Normal 3 24" xfId="935"/>
    <cellStyle name="Normal 3 25" xfId="3240"/>
    <cellStyle name="Normal 3 26" xfId="3339"/>
    <cellStyle name="Normal 3 27" xfId="3340"/>
    <cellStyle name="Normal 3 3" xfId="936"/>
    <cellStyle name="Normal 3 4" xfId="937"/>
    <cellStyle name="Normal 3 5" xfId="938"/>
    <cellStyle name="Normal 3 6" xfId="939"/>
    <cellStyle name="Normal 3 7" xfId="940"/>
    <cellStyle name="Normal 3 8" xfId="941"/>
    <cellStyle name="Normal 3 9" xfId="942"/>
    <cellStyle name="Normal 30" xfId="943"/>
    <cellStyle name="Normal 30 10" xfId="944"/>
    <cellStyle name="Normal 30 11" xfId="945"/>
    <cellStyle name="Normal 30 12" xfId="946"/>
    <cellStyle name="Normal 30 13" xfId="947"/>
    <cellStyle name="Normal 30 14" xfId="948"/>
    <cellStyle name="Normal 30 15" xfId="949"/>
    <cellStyle name="Normal 30 16" xfId="950"/>
    <cellStyle name="Normal 30 2" xfId="951"/>
    <cellStyle name="Normal 30 3" xfId="952"/>
    <cellStyle name="Normal 30 4" xfId="953"/>
    <cellStyle name="Normal 30 5" xfId="954"/>
    <cellStyle name="Normal 30 6" xfId="955"/>
    <cellStyle name="Normal 30 7" xfId="956"/>
    <cellStyle name="Normal 30 8" xfId="957"/>
    <cellStyle name="Normal 30 9" xfId="958"/>
    <cellStyle name="Normal 31" xfId="959"/>
    <cellStyle name="Normal 32" xfId="960"/>
    <cellStyle name="Normal 33" xfId="961"/>
    <cellStyle name="Normal 34" xfId="962"/>
    <cellStyle name="Normal 35" xfId="963"/>
    <cellStyle name="Normal 36" xfId="964"/>
    <cellStyle name="Normal 37" xfId="965"/>
    <cellStyle name="Normal 38" xfId="966"/>
    <cellStyle name="Normal 39" xfId="967"/>
    <cellStyle name="Normal 4" xfId="968"/>
    <cellStyle name="Normal 4 10" xfId="969"/>
    <cellStyle name="Normal 4 10 2" xfId="970"/>
    <cellStyle name="Normal 4 11" xfId="971"/>
    <cellStyle name="Normal 4 11 2" xfId="972"/>
    <cellStyle name="Normal 4 12" xfId="973"/>
    <cellStyle name="Normal 4 12 2" xfId="974"/>
    <cellStyle name="Normal 4 13" xfId="975"/>
    <cellStyle name="Normal 4 13 2" xfId="976"/>
    <cellStyle name="Normal 4 14" xfId="977"/>
    <cellStyle name="Normal 4 14 2" xfId="978"/>
    <cellStyle name="Normal 4 15" xfId="979"/>
    <cellStyle name="Normal 4 15 2" xfId="980"/>
    <cellStyle name="Normal 4 16" xfId="981"/>
    <cellStyle name="Normal 4 16 2" xfId="982"/>
    <cellStyle name="Normal 4 17" xfId="983"/>
    <cellStyle name="Normal 4 18" xfId="984"/>
    <cellStyle name="Normal 4 2" xfId="985"/>
    <cellStyle name="Normal 4 2 2" xfId="986"/>
    <cellStyle name="Normal 4 3" xfId="987"/>
    <cellStyle name="Normal 4 3 2" xfId="988"/>
    <cellStyle name="Normal 4 4" xfId="989"/>
    <cellStyle name="Normal 4 4 2" xfId="990"/>
    <cellStyle name="Normal 4 5" xfId="991"/>
    <cellStyle name="Normal 4 5 2" xfId="992"/>
    <cellStyle name="Normal 4 6" xfId="993"/>
    <cellStyle name="Normal 4 6 2" xfId="994"/>
    <cellStyle name="Normal 4 7" xfId="995"/>
    <cellStyle name="Normal 4 7 2" xfId="996"/>
    <cellStyle name="Normal 4 8" xfId="997"/>
    <cellStyle name="Normal 4 8 2" xfId="998"/>
    <cellStyle name="Normal 4 9" xfId="999"/>
    <cellStyle name="Normal 4 9 2" xfId="1000"/>
    <cellStyle name="Normal 40" xfId="1001"/>
    <cellStyle name="Normal 41" xfId="1002"/>
    <cellStyle name="Normal 42" xfId="1003"/>
    <cellStyle name="Normal 43" xfId="1004"/>
    <cellStyle name="Normal 44" xfId="1005"/>
    <cellStyle name="Normal 45" xfId="1006"/>
    <cellStyle name="Normal 46" xfId="1007"/>
    <cellStyle name="Normal 47" xfId="1008"/>
    <cellStyle name="Normal 48" xfId="1009"/>
    <cellStyle name="Normal 49" xfId="1010"/>
    <cellStyle name="Normal 5" xfId="1011"/>
    <cellStyle name="Normal 5 10" xfId="1012"/>
    <cellStyle name="Normal 5 11" xfId="1013"/>
    <cellStyle name="Normal 5 12" xfId="1014"/>
    <cellStyle name="Normal 5 13" xfId="1015"/>
    <cellStyle name="Normal 5 14" xfId="1016"/>
    <cellStyle name="Normal 5 15" xfId="1017"/>
    <cellStyle name="Normal 5 16" xfId="1018"/>
    <cellStyle name="Normal 5 17" xfId="1019"/>
    <cellStyle name="Normal 5 18" xfId="1020"/>
    <cellStyle name="Normal 5 19" xfId="1021"/>
    <cellStyle name="Normal 5 2" xfId="1022"/>
    <cellStyle name="Normal 5 20" xfId="1023"/>
    <cellStyle name="Normal 5 3" xfId="1024"/>
    <cellStyle name="Normal 5 3 2" xfId="1025"/>
    <cellStyle name="Normal 5 3 2 2" xfId="1026"/>
    <cellStyle name="Normal 5 3 2 3" xfId="1027"/>
    <cellStyle name="Normal 5 3 2 4" xfId="1028"/>
    <cellStyle name="Normal 5 3 3" xfId="1029"/>
    <cellStyle name="Normal 5 3 4" xfId="1030"/>
    <cellStyle name="Normal 5 3 5" xfId="1031"/>
    <cellStyle name="Normal 5 3 6" xfId="1032"/>
    <cellStyle name="Normal 5 3 7" xfId="1033"/>
    <cellStyle name="Normal 5 4" xfId="1034"/>
    <cellStyle name="Normal 5 5" xfId="1035"/>
    <cellStyle name="Normal 5 6" xfId="1036"/>
    <cellStyle name="Normal 5 7" xfId="1037"/>
    <cellStyle name="Normal 5 8" xfId="1038"/>
    <cellStyle name="Normal 5 9" xfId="1039"/>
    <cellStyle name="Normal 5_Boa Esperança" xfId="1040"/>
    <cellStyle name="Normal 50" xfId="1041"/>
    <cellStyle name="Normal 51" xfId="1042"/>
    <cellStyle name="Normal 52" xfId="1043"/>
    <cellStyle name="Normal 53" xfId="1044"/>
    <cellStyle name="Normal 54" xfId="1045"/>
    <cellStyle name="Normal 55" xfId="1046"/>
    <cellStyle name="Normal 56" xfId="1047"/>
    <cellStyle name="Normal 57" xfId="1048"/>
    <cellStyle name="Normal 58" xfId="1049"/>
    <cellStyle name="Normal 59" xfId="1050"/>
    <cellStyle name="Normal 6" xfId="1051"/>
    <cellStyle name="Normal 6 10" xfId="1052"/>
    <cellStyle name="Normal 6 11" xfId="1053"/>
    <cellStyle name="Normal 6 12" xfId="1054"/>
    <cellStyle name="Normal 6 13" xfId="1055"/>
    <cellStyle name="Normal 6 14" xfId="1056"/>
    <cellStyle name="Normal 6 15" xfId="1057"/>
    <cellStyle name="Normal 6 16" xfId="1058"/>
    <cellStyle name="Normal 6 17" xfId="1059"/>
    <cellStyle name="Normal 6 18" xfId="1060"/>
    <cellStyle name="Normal 6 19" xfId="1061"/>
    <cellStyle name="Normal 6 2" xfId="1062"/>
    <cellStyle name="Normal 6 20" xfId="1063"/>
    <cellStyle name="Normal 6 21" xfId="1064"/>
    <cellStyle name="Normal 6 22" xfId="1065"/>
    <cellStyle name="Normal 6 23" xfId="1066"/>
    <cellStyle name="Normal 6 24" xfId="1067"/>
    <cellStyle name="Normal 6 25" xfId="1068"/>
    <cellStyle name="Normal 6 26" xfId="1069"/>
    <cellStyle name="Normal 6 27" xfId="1070"/>
    <cellStyle name="Normal 6 28" xfId="1071"/>
    <cellStyle name="Normal 6 29" xfId="1072"/>
    <cellStyle name="Normal 6 3" xfId="1073"/>
    <cellStyle name="Normal 6 30" xfId="1074"/>
    <cellStyle name="Normal 6 31" xfId="1075"/>
    <cellStyle name="Normal 6 32" xfId="1076"/>
    <cellStyle name="Normal 6 4" xfId="1077"/>
    <cellStyle name="Normal 6 5" xfId="1078"/>
    <cellStyle name="Normal 6 6" xfId="1079"/>
    <cellStyle name="Normal 6 7" xfId="1080"/>
    <cellStyle name="Normal 6 8" xfId="1081"/>
    <cellStyle name="Normal 6 9" xfId="1082"/>
    <cellStyle name="Normal 60" xfId="1083"/>
    <cellStyle name="Normal 61" xfId="1084"/>
    <cellStyle name="Normal 62" xfId="1085"/>
    <cellStyle name="Normal 63" xfId="1086"/>
    <cellStyle name="Normal 64" xfId="1087"/>
    <cellStyle name="Normal 65" xfId="1088"/>
    <cellStyle name="Normal 66" xfId="1089"/>
    <cellStyle name="Normal 67" xfId="1090"/>
    <cellStyle name="Normal 68" xfId="1091"/>
    <cellStyle name="Normal 69" xfId="1092"/>
    <cellStyle name="Normal 7" xfId="1093"/>
    <cellStyle name="Normal 7 10" xfId="1094"/>
    <cellStyle name="Normal 7 11" xfId="1095"/>
    <cellStyle name="Normal 7 12" xfId="1096"/>
    <cellStyle name="Normal 7 13" xfId="1097"/>
    <cellStyle name="Normal 7 14" xfId="1098"/>
    <cellStyle name="Normal 7 15" xfId="1099"/>
    <cellStyle name="Normal 7 16" xfId="1100"/>
    <cellStyle name="Normal 7 17" xfId="1101"/>
    <cellStyle name="Normal 7 18" xfId="1102"/>
    <cellStyle name="Normal 7 19" xfId="1103"/>
    <cellStyle name="Normal 7 2" xfId="1104"/>
    <cellStyle name="Normal 7 20" xfId="1105"/>
    <cellStyle name="Normal 7 21" xfId="1106"/>
    <cellStyle name="Normal 7 22" xfId="1107"/>
    <cellStyle name="Normal 7 23" xfId="1108"/>
    <cellStyle name="Normal 7 24" xfId="1109"/>
    <cellStyle name="Normal 7 25" xfId="1110"/>
    <cellStyle name="Normal 7 26" xfId="1111"/>
    <cellStyle name="Normal 7 27" xfId="1112"/>
    <cellStyle name="Normal 7 28" xfId="1113"/>
    <cellStyle name="Normal 7 29" xfId="1114"/>
    <cellStyle name="Normal 7 3" xfId="1115"/>
    <cellStyle name="Normal 7 4" xfId="1116"/>
    <cellStyle name="Normal 7 5" xfId="1117"/>
    <cellStyle name="Normal 7 6" xfId="1118"/>
    <cellStyle name="Normal 7 7" xfId="1119"/>
    <cellStyle name="Normal 7 8" xfId="1120"/>
    <cellStyle name="Normal 7 9" xfId="1121"/>
    <cellStyle name="Normal 70" xfId="1122"/>
    <cellStyle name="Normal 71" xfId="1123"/>
    <cellStyle name="Normal 72" xfId="1124"/>
    <cellStyle name="Normal 73" xfId="1125"/>
    <cellStyle name="Normal 74" xfId="1126"/>
    <cellStyle name="Normal 75" xfId="1127"/>
    <cellStyle name="Normal 76" xfId="1128"/>
    <cellStyle name="Normal 77" xfId="1129"/>
    <cellStyle name="Normal 78" xfId="1130"/>
    <cellStyle name="Normal 79" xfId="1131"/>
    <cellStyle name="Normal 8" xfId="1132"/>
    <cellStyle name="Normal 8 2" xfId="1133"/>
    <cellStyle name="Normal 8 3" xfId="1134"/>
    <cellStyle name="Normal 8 4" xfId="1135"/>
    <cellStyle name="Normal 80" xfId="1136"/>
    <cellStyle name="Normal 81" xfId="1137"/>
    <cellStyle name="Normal 82" xfId="1138"/>
    <cellStyle name="Normal 83" xfId="1139"/>
    <cellStyle name="Normal 84" xfId="1140"/>
    <cellStyle name="Normal 85" xfId="1141"/>
    <cellStyle name="Normal 86" xfId="1142"/>
    <cellStyle name="Normal 87" xfId="1143"/>
    <cellStyle name="Normal 88" xfId="3206"/>
    <cellStyle name="Normal 89" xfId="3208"/>
    <cellStyle name="Normal 89 2" xfId="3341"/>
    <cellStyle name="Normal 9" xfId="1144"/>
    <cellStyle name="Normal 9 2" xfId="1145"/>
    <cellStyle name="Normal 90" xfId="3214"/>
    <cellStyle name="Normal 91" xfId="3241"/>
    <cellStyle name="Normal 92" xfId="3242"/>
    <cellStyle name="Normal 93" xfId="3459"/>
    <cellStyle name="Normal 94" xfId="3458"/>
    <cellStyle name="Normal_JANEIRO-2005" xfId="3460"/>
    <cellStyle name="Nota 10" xfId="1146"/>
    <cellStyle name="Nota 10 2" xfId="3243"/>
    <cellStyle name="Nota 10 2 2" xfId="3244"/>
    <cellStyle name="Nota 10 2 2 2" xfId="3434"/>
    <cellStyle name="Nota 10 2 3" xfId="3435"/>
    <cellStyle name="Nota 10 3" xfId="3245"/>
    <cellStyle name="Nota 10 3 2" xfId="3433"/>
    <cellStyle name="Nota 11" xfId="1147"/>
    <cellStyle name="Nota 11 2" xfId="3246"/>
    <cellStyle name="Nota 11 2 2" xfId="3247"/>
    <cellStyle name="Nota 11 2 2 2" xfId="3431"/>
    <cellStyle name="Nota 11 2 3" xfId="3432"/>
    <cellStyle name="Nota 11 3" xfId="3248"/>
    <cellStyle name="Nota 11 3 2" xfId="3430"/>
    <cellStyle name="Nota 2" xfId="1148"/>
    <cellStyle name="Nota 2 2" xfId="3249"/>
    <cellStyle name="Nota 2 2 2" xfId="3250"/>
    <cellStyle name="Nota 2 2 2 2" xfId="3428"/>
    <cellStyle name="Nota 2 2 3" xfId="3429"/>
    <cellStyle name="Nota 2 3" xfId="3251"/>
    <cellStyle name="Nota 2 3 2" xfId="3427"/>
    <cellStyle name="Nota 3" xfId="1149"/>
    <cellStyle name="Nota 3 2" xfId="3252"/>
    <cellStyle name="Nota 3 2 2" xfId="3253"/>
    <cellStyle name="Nota 3 2 2 2" xfId="3425"/>
    <cellStyle name="Nota 3 2 3" xfId="3426"/>
    <cellStyle name="Nota 3 3" xfId="3254"/>
    <cellStyle name="Nota 3 3 2" xfId="3424"/>
    <cellStyle name="Nota 4" xfId="1150"/>
    <cellStyle name="Nota 4 2" xfId="3255"/>
    <cellStyle name="Nota 4 2 2" xfId="3256"/>
    <cellStyle name="Nota 4 2 2 2" xfId="3422"/>
    <cellStyle name="Nota 4 2 3" xfId="3423"/>
    <cellStyle name="Nota 4 3" xfId="3257"/>
    <cellStyle name="Nota 4 3 2" xfId="3421"/>
    <cellStyle name="Nota 5" xfId="1151"/>
    <cellStyle name="Nota 5 2" xfId="3258"/>
    <cellStyle name="Nota 5 2 2" xfId="3259"/>
    <cellStyle name="Nota 5 2 2 2" xfId="3419"/>
    <cellStyle name="Nota 5 2 3" xfId="3420"/>
    <cellStyle name="Nota 5 3" xfId="3260"/>
    <cellStyle name="Nota 5 3 2" xfId="3418"/>
    <cellStyle name="Nota 6" xfId="1152"/>
    <cellStyle name="Nota 6 2" xfId="3261"/>
    <cellStyle name="Nota 6 2 2" xfId="3262"/>
    <cellStyle name="Nota 6 2 2 2" xfId="3416"/>
    <cellStyle name="Nota 6 2 3" xfId="3417"/>
    <cellStyle name="Nota 6 3" xfId="3263"/>
    <cellStyle name="Nota 6 3 2" xfId="3415"/>
    <cellStyle name="Nota 7" xfId="1153"/>
    <cellStyle name="Nota 7 2" xfId="3264"/>
    <cellStyle name="Nota 7 2 2" xfId="3265"/>
    <cellStyle name="Nota 7 2 2 2" xfId="3413"/>
    <cellStyle name="Nota 7 2 3" xfId="3414"/>
    <cellStyle name="Nota 7 3" xfId="3266"/>
    <cellStyle name="Nota 7 3 2" xfId="3412"/>
    <cellStyle name="Nota 8" xfId="1154"/>
    <cellStyle name="Nota 8 2" xfId="3267"/>
    <cellStyle name="Nota 8 2 2" xfId="3268"/>
    <cellStyle name="Nota 8 2 2 2" xfId="3410"/>
    <cellStyle name="Nota 8 2 3" xfId="3411"/>
    <cellStyle name="Nota 8 3" xfId="3269"/>
    <cellStyle name="Nota 8 3 2" xfId="3409"/>
    <cellStyle name="Nota 9" xfId="1155"/>
    <cellStyle name="Nota 9 2" xfId="3270"/>
    <cellStyle name="Nota 9 2 2" xfId="3271"/>
    <cellStyle name="Nota 9 2 2 2" xfId="3407"/>
    <cellStyle name="Nota 9 2 3" xfId="3408"/>
    <cellStyle name="Nota 9 3" xfId="3272"/>
    <cellStyle name="Nota 9 3 2" xfId="3406"/>
    <cellStyle name="Note" xfId="1156"/>
    <cellStyle name="Note 2" xfId="3273"/>
    <cellStyle name="Note 2 2" xfId="3274"/>
    <cellStyle name="Note 2 2 2" xfId="3404"/>
    <cellStyle name="Note 2 3" xfId="3405"/>
    <cellStyle name="Note 3" xfId="3275"/>
    <cellStyle name="Note 3 2" xfId="3403"/>
    <cellStyle name="Numero" xfId="1157"/>
    <cellStyle name="Output" xfId="1158"/>
    <cellStyle name="Output 2" xfId="3276"/>
    <cellStyle name="Output 2 2" xfId="3277"/>
    <cellStyle name="Output 2 2 2" xfId="3401"/>
    <cellStyle name="Output 2 3" xfId="3402"/>
    <cellStyle name="Output 3" xfId="3278"/>
    <cellStyle name="Output 3 2" xfId="3400"/>
    <cellStyle name="padroes" xfId="1159"/>
    <cellStyle name="Percent" xfId="1160"/>
    <cellStyle name="Percentual" xfId="1161"/>
    <cellStyle name="planilhas" xfId="1162"/>
    <cellStyle name="Ponto" xfId="1163"/>
    <cellStyle name="Porcentagem" xfId="3209" builtinId="5"/>
    <cellStyle name="Porcentagem 10" xfId="1165"/>
    <cellStyle name="Porcentagem 11 10" xfId="1166"/>
    <cellStyle name="Porcentagem 11 11" xfId="1167"/>
    <cellStyle name="Porcentagem 11 2" xfId="1168"/>
    <cellStyle name="Porcentagem 11 3" xfId="1169"/>
    <cellStyle name="Porcentagem 11 4" xfId="1170"/>
    <cellStyle name="Porcentagem 11 5" xfId="1171"/>
    <cellStyle name="Porcentagem 11 6" xfId="1172"/>
    <cellStyle name="Porcentagem 11 7" xfId="1173"/>
    <cellStyle name="Porcentagem 11 8" xfId="1174"/>
    <cellStyle name="Porcentagem 11 9" xfId="1175"/>
    <cellStyle name="Porcentagem 2" xfId="1164"/>
    <cellStyle name="Porcentagem 2 2" xfId="1176"/>
    <cellStyle name="Porcentagem 2 2 2" xfId="1177"/>
    <cellStyle name="Porcentagem 2 3" xfId="1178"/>
    <cellStyle name="Porcentagem 2 4" xfId="1179"/>
    <cellStyle name="Porcentagem 2 5" xfId="1180"/>
    <cellStyle name="Porcentagem 2 6" xfId="1181"/>
    <cellStyle name="Porcentagem 2 7" xfId="1182"/>
    <cellStyle name="Porcentagem 2 7 2" xfId="1183"/>
    <cellStyle name="Porcentagem 2 7 3" xfId="1184"/>
    <cellStyle name="Porcentagem 2 8" xfId="1185"/>
    <cellStyle name="Porcentagem 2 8 2" xfId="1186"/>
    <cellStyle name="Porcentagem 2 8 3" xfId="1187"/>
    <cellStyle name="Porcentagem 2 9" xfId="1188"/>
    <cellStyle name="Porcentagem 3 2" xfId="1189"/>
    <cellStyle name="Porcentagem 3 3" xfId="1190"/>
    <cellStyle name="Porcentagem 3 4" xfId="1191"/>
    <cellStyle name="Porcentagem 31" xfId="1192"/>
    <cellStyle name="Porcentagem 4" xfId="1193"/>
    <cellStyle name="Porcentagem 4 2" xfId="1194"/>
    <cellStyle name="Porcentagem 5" xfId="1195"/>
    <cellStyle name="Porcentagem 5 2" xfId="1196"/>
    <cellStyle name="Porcentagem 5 2 2" xfId="1197"/>
    <cellStyle name="Porcentagem 5 2 3" xfId="1198"/>
    <cellStyle name="Porcentagem 5 2 4" xfId="1199"/>
    <cellStyle name="Porcentagem 6" xfId="1200"/>
    <cellStyle name="Porcentagem 6 10" xfId="1201"/>
    <cellStyle name="Porcentagem 6 11" xfId="1202"/>
    <cellStyle name="Porcentagem 6 12" xfId="1203"/>
    <cellStyle name="Porcentagem 6 13" xfId="1204"/>
    <cellStyle name="Porcentagem 6 14" xfId="1205"/>
    <cellStyle name="Porcentagem 6 15" xfId="1206"/>
    <cellStyle name="Porcentagem 6 16" xfId="1207"/>
    <cellStyle name="Porcentagem 6 17" xfId="1208"/>
    <cellStyle name="Porcentagem 6 18" xfId="1209"/>
    <cellStyle name="Porcentagem 6 19" xfId="1210"/>
    <cellStyle name="Porcentagem 6 2" xfId="1211"/>
    <cellStyle name="Porcentagem 6 20" xfId="1212"/>
    <cellStyle name="Porcentagem 6 21" xfId="1213"/>
    <cellStyle name="Porcentagem 6 22" xfId="1214"/>
    <cellStyle name="Porcentagem 6 3" xfId="1215"/>
    <cellStyle name="Porcentagem 6 4" xfId="1216"/>
    <cellStyle name="Porcentagem 6 5" xfId="1217"/>
    <cellStyle name="Porcentagem 6 6" xfId="1218"/>
    <cellStyle name="Porcentagem 6 7" xfId="1219"/>
    <cellStyle name="Porcentagem 6 8" xfId="1220"/>
    <cellStyle name="Porcentagem 6 9" xfId="1221"/>
    <cellStyle name="Porcentagem 7" xfId="1222"/>
    <cellStyle name="Porcentagem 8" xfId="1223"/>
    <cellStyle name="Porcentagem 8 2" xfId="1224"/>
    <cellStyle name="Porcentagem 9" xfId="1225"/>
    <cellStyle name="Saída 10" xfId="1226"/>
    <cellStyle name="Saída 10 2" xfId="3279"/>
    <cellStyle name="Saída 10 2 2" xfId="3280"/>
    <cellStyle name="Saída 10 2 2 2" xfId="3398"/>
    <cellStyle name="Saída 10 2 3" xfId="3399"/>
    <cellStyle name="Saída 10 3" xfId="3281"/>
    <cellStyle name="Saída 10 3 2" xfId="3397"/>
    <cellStyle name="Saída 11" xfId="1227"/>
    <cellStyle name="Saída 11 2" xfId="3282"/>
    <cellStyle name="Saída 11 2 2" xfId="3283"/>
    <cellStyle name="Saída 11 2 2 2" xfId="3395"/>
    <cellStyle name="Saída 11 2 3" xfId="3396"/>
    <cellStyle name="Saída 11 3" xfId="3284"/>
    <cellStyle name="Saída 11 3 2" xfId="3394"/>
    <cellStyle name="Saída 2" xfId="1228"/>
    <cellStyle name="Saída 2 2" xfId="3285"/>
    <cellStyle name="Saída 2 2 2" xfId="3286"/>
    <cellStyle name="Saída 2 2 2 2" xfId="3392"/>
    <cellStyle name="Saída 2 2 3" xfId="3393"/>
    <cellStyle name="Saída 2 3" xfId="3287"/>
    <cellStyle name="Saída 2 3 2" xfId="3391"/>
    <cellStyle name="Saída 3" xfId="1229"/>
    <cellStyle name="Saída 3 2" xfId="3288"/>
    <cellStyle name="Saída 3 2 2" xfId="3289"/>
    <cellStyle name="Saída 3 2 2 2" xfId="3389"/>
    <cellStyle name="Saída 3 2 3" xfId="3390"/>
    <cellStyle name="Saída 3 3" xfId="3290"/>
    <cellStyle name="Saída 3 3 2" xfId="3388"/>
    <cellStyle name="Saída 4" xfId="1230"/>
    <cellStyle name="Saída 4 2" xfId="3291"/>
    <cellStyle name="Saída 4 2 2" xfId="3292"/>
    <cellStyle name="Saída 4 2 2 2" xfId="3386"/>
    <cellStyle name="Saída 4 2 3" xfId="3387"/>
    <cellStyle name="Saída 4 3" xfId="3293"/>
    <cellStyle name="Saída 4 3 2" xfId="3385"/>
    <cellStyle name="Saída 5" xfId="1231"/>
    <cellStyle name="Saída 5 2" xfId="3294"/>
    <cellStyle name="Saída 5 2 2" xfId="3295"/>
    <cellStyle name="Saída 5 2 2 2" xfId="3383"/>
    <cellStyle name="Saída 5 2 3" xfId="3384"/>
    <cellStyle name="Saída 5 3" xfId="3296"/>
    <cellStyle name="Saída 5 3 2" xfId="3382"/>
    <cellStyle name="Saída 6" xfId="1232"/>
    <cellStyle name="Saída 6 2" xfId="3297"/>
    <cellStyle name="Saída 6 2 2" xfId="3298"/>
    <cellStyle name="Saída 6 2 2 2" xfId="3380"/>
    <cellStyle name="Saída 6 2 3" xfId="3381"/>
    <cellStyle name="Saída 6 3" xfId="3299"/>
    <cellStyle name="Saída 6 3 2" xfId="3379"/>
    <cellStyle name="Saída 7" xfId="1233"/>
    <cellStyle name="Saída 7 2" xfId="3300"/>
    <cellStyle name="Saída 7 2 2" xfId="3301"/>
    <cellStyle name="Saída 7 2 2 2" xfId="3377"/>
    <cellStyle name="Saída 7 2 3" xfId="3378"/>
    <cellStyle name="Saída 7 3" xfId="3302"/>
    <cellStyle name="Saída 7 3 2" xfId="3376"/>
    <cellStyle name="Saída 8" xfId="1234"/>
    <cellStyle name="Saída 8 2" xfId="3303"/>
    <cellStyle name="Saída 8 2 2" xfId="3304"/>
    <cellStyle name="Saída 8 2 2 2" xfId="3374"/>
    <cellStyle name="Saída 8 2 3" xfId="3375"/>
    <cellStyle name="Saída 8 3" xfId="3305"/>
    <cellStyle name="Saída 8 3 2" xfId="3373"/>
    <cellStyle name="Saída 9" xfId="1235"/>
    <cellStyle name="Saída 9 2" xfId="3306"/>
    <cellStyle name="Saída 9 2 2" xfId="3307"/>
    <cellStyle name="Saída 9 2 2 2" xfId="3371"/>
    <cellStyle name="Saída 9 2 3" xfId="3372"/>
    <cellStyle name="Saída 9 3" xfId="3308"/>
    <cellStyle name="Saída 9 3 2" xfId="3370"/>
    <cellStyle name="Separador de m" xfId="1236"/>
    <cellStyle name="Separador de milhares 10" xfId="1237"/>
    <cellStyle name="Separador de milhares 100" xfId="1238"/>
    <cellStyle name="Separador de milhares 101" xfId="1239"/>
    <cellStyle name="Separador de milhares 102" xfId="1240"/>
    <cellStyle name="Separador de milhares 103" xfId="1241"/>
    <cellStyle name="Separador de milhares 104" xfId="1242"/>
    <cellStyle name="Separador de milhares 105" xfId="1243"/>
    <cellStyle name="Separador de milhares 106" xfId="1244"/>
    <cellStyle name="Separador de milhares 107" xfId="1245"/>
    <cellStyle name="Separador de milhares 108" xfId="1246"/>
    <cellStyle name="Separador de milhares 109" xfId="1247"/>
    <cellStyle name="Separador de milhares 11" xfId="1248"/>
    <cellStyle name="Separador de milhares 110" xfId="1249"/>
    <cellStyle name="Separador de milhares 111" xfId="1250"/>
    <cellStyle name="Separador de milhares 112" xfId="1251"/>
    <cellStyle name="Separador de milhares 113" xfId="1252"/>
    <cellStyle name="Separador de milhares 114" xfId="1253"/>
    <cellStyle name="Separador de milhares 115" xfId="1254"/>
    <cellStyle name="Separador de milhares 116" xfId="1255"/>
    <cellStyle name="Separador de milhares 117" xfId="1256"/>
    <cellStyle name="Separador de milhares 118" xfId="1257"/>
    <cellStyle name="Separador de milhares 119" xfId="1258"/>
    <cellStyle name="Separador de milhares 12" xfId="1259"/>
    <cellStyle name="Separador de milhares 12 10" xfId="1260"/>
    <cellStyle name="Separador de milhares 12 10 10" xfId="1261"/>
    <cellStyle name="Separador de milhares 12 10 10 2" xfId="1262"/>
    <cellStyle name="Separador de milhares 12 10 10 3" xfId="1263"/>
    <cellStyle name="Separador de milhares 12 10 11" xfId="1264"/>
    <cellStyle name="Separador de milhares 12 10 11 2" xfId="1265"/>
    <cellStyle name="Separador de milhares 12 10 12" xfId="1266"/>
    <cellStyle name="Separador de milhares 12 10 12 2" xfId="1267"/>
    <cellStyle name="Separador de milhares 12 10 13" xfId="1268"/>
    <cellStyle name="Separador de milhares 12 10 13 2" xfId="1269"/>
    <cellStyle name="Separador de milhares 12 10 14" xfId="1270"/>
    <cellStyle name="Separador de milhares 12 10 14 2" xfId="1271"/>
    <cellStyle name="Separador de milhares 12 10 15" xfId="1272"/>
    <cellStyle name="Separador de milhares 12 10 15 2" xfId="1273"/>
    <cellStyle name="Separador de milhares 12 10 16" xfId="1274"/>
    <cellStyle name="Separador de milhares 12 10 16 2" xfId="1275"/>
    <cellStyle name="Separador de milhares 12 10 17" xfId="1276"/>
    <cellStyle name="Separador de milhares 12 10 17 2" xfId="1277"/>
    <cellStyle name="Separador de milhares 12 10 18" xfId="1278"/>
    <cellStyle name="Separador de milhares 12 10 18 2" xfId="1279"/>
    <cellStyle name="Separador de milhares 12 10 19" xfId="1280"/>
    <cellStyle name="Separador de milhares 12 10 19 2" xfId="1281"/>
    <cellStyle name="Separador de milhares 12 10 2" xfId="1282"/>
    <cellStyle name="Separador de milhares 12 10 2 10" xfId="1283"/>
    <cellStyle name="Separador de milhares 12 10 2 11" xfId="1284"/>
    <cellStyle name="Separador de milhares 12 10 2 11 2" xfId="1285"/>
    <cellStyle name="Separador de milhares 12 10 2 12" xfId="1286"/>
    <cellStyle name="Separador de milhares 12 10 2 12 2" xfId="1287"/>
    <cellStyle name="Separador de milhares 12 10 2 13" xfId="1288"/>
    <cellStyle name="Separador de milhares 12 10 2 14" xfId="1289"/>
    <cellStyle name="Separador de milhares 12 10 2 15" xfId="1290"/>
    <cellStyle name="Separador de milhares 12 10 2 16" xfId="1291"/>
    <cellStyle name="Separador de milhares 12 10 2 17" xfId="1292"/>
    <cellStyle name="Separador de milhares 12 10 2 18" xfId="1293"/>
    <cellStyle name="Separador de milhares 12 10 2 19" xfId="1294"/>
    <cellStyle name="Separador de milhares 12 10 2 2" xfId="1295"/>
    <cellStyle name="Separador de milhares 12 10 2 20" xfId="1296"/>
    <cellStyle name="Separador de milhares 12 10 2 21" xfId="1297"/>
    <cellStyle name="Separador de milhares 12 10 2 22" xfId="1298"/>
    <cellStyle name="Separador de milhares 12 10 2 23" xfId="1299"/>
    <cellStyle name="Separador de milhares 12 10 2 24" xfId="1300"/>
    <cellStyle name="Separador de milhares 12 10 2 25" xfId="1301"/>
    <cellStyle name="Separador de milhares 12 10 2 26" xfId="1302"/>
    <cellStyle name="Separador de milhares 12 10 2 3" xfId="1303"/>
    <cellStyle name="Separador de milhares 12 10 2 4" xfId="1304"/>
    <cellStyle name="Separador de milhares 12 10 2 5" xfId="1305"/>
    <cellStyle name="Separador de milhares 12 10 2 6" xfId="1306"/>
    <cellStyle name="Separador de milhares 12 10 2 7" xfId="1307"/>
    <cellStyle name="Separador de milhares 12 10 2 8" xfId="1308"/>
    <cellStyle name="Separador de milhares 12 10 2 9" xfId="1309"/>
    <cellStyle name="Separador de milhares 12 10 20" xfId="1310"/>
    <cellStyle name="Separador de milhares 12 10 20 2" xfId="1311"/>
    <cellStyle name="Separador de milhares 12 10 21" xfId="1312"/>
    <cellStyle name="Separador de milhares 12 10 21 2" xfId="1313"/>
    <cellStyle name="Separador de milhares 12 10 22" xfId="1314"/>
    <cellStyle name="Separador de milhares 12 10 22 2" xfId="1315"/>
    <cellStyle name="Separador de milhares 12 10 23" xfId="1316"/>
    <cellStyle name="Separador de milhares 12 10 23 2" xfId="1317"/>
    <cellStyle name="Separador de milhares 12 10 24" xfId="1318"/>
    <cellStyle name="Separador de milhares 12 10 24 2" xfId="1319"/>
    <cellStyle name="Separador de milhares 12 10 25" xfId="1320"/>
    <cellStyle name="Separador de milhares 12 10 25 2" xfId="1321"/>
    <cellStyle name="Separador de milhares 12 10 25 3" xfId="1322"/>
    <cellStyle name="Separador de milhares 12 10 25 4" xfId="1323"/>
    <cellStyle name="Separador de milhares 12 10 25 5" xfId="1324"/>
    <cellStyle name="Separador de milhares 12 10 25 6" xfId="1325"/>
    <cellStyle name="Separador de milhares 12 10 25 7" xfId="1326"/>
    <cellStyle name="Separador de milhares 12 10 26" xfId="1327"/>
    <cellStyle name="Separador de milhares 12 10 27" xfId="1328"/>
    <cellStyle name="Separador de milhares 12 10 28" xfId="1329"/>
    <cellStyle name="Separador de milhares 12 10 29" xfId="1330"/>
    <cellStyle name="Separador de milhares 12 10 3" xfId="1331"/>
    <cellStyle name="Separador de milhares 12 10 3 10" xfId="1332"/>
    <cellStyle name="Separador de milhares 12 10 3 10 2" xfId="1333"/>
    <cellStyle name="Separador de milhares 12 10 3 11" xfId="1334"/>
    <cellStyle name="Separador de milhares 12 10 3 11 2" xfId="1335"/>
    <cellStyle name="Separador de milhares 12 10 3 12" xfId="1336"/>
    <cellStyle name="Separador de milhares 12 10 3 12 2" xfId="1337"/>
    <cellStyle name="Separador de milhares 12 10 3 13" xfId="1338"/>
    <cellStyle name="Separador de milhares 12 10 3 13 2" xfId="1339"/>
    <cellStyle name="Separador de milhares 12 10 3 14" xfId="1340"/>
    <cellStyle name="Separador de milhares 12 10 3 14 2" xfId="1341"/>
    <cellStyle name="Separador de milhares 12 10 3 15" xfId="1342"/>
    <cellStyle name="Separador de milhares 12 10 3 15 2" xfId="1343"/>
    <cellStyle name="Separador de milhares 12 10 3 16" xfId="1344"/>
    <cellStyle name="Separador de milhares 12 10 3 16 2" xfId="1345"/>
    <cellStyle name="Separador de milhares 12 10 3 17" xfId="1346"/>
    <cellStyle name="Separador de milhares 12 10 3 18" xfId="1347"/>
    <cellStyle name="Separador de milhares 12 10 3 19" xfId="1348"/>
    <cellStyle name="Separador de milhares 12 10 3 2" xfId="1349"/>
    <cellStyle name="Separador de milhares 12 10 3 2 2" xfId="1350"/>
    <cellStyle name="Separador de milhares 12 10 3 2 2 2" xfId="1351"/>
    <cellStyle name="Separador de milhares 12 10 3 2 3" xfId="1352"/>
    <cellStyle name="Separador de milhares 12 10 3 2 3 2" xfId="1353"/>
    <cellStyle name="Separador de milhares 12 10 3 2 4" xfId="1354"/>
    <cellStyle name="Separador de milhares 12 10 3 2 4 2" xfId="1355"/>
    <cellStyle name="Separador de milhares 12 10 3 2 5" xfId="1356"/>
    <cellStyle name="Separador de milhares 12 10 3 2 5 2" xfId="1357"/>
    <cellStyle name="Separador de milhares 12 10 3 2 6" xfId="1358"/>
    <cellStyle name="Separador de milhares 12 10 3 2 6 2" xfId="1359"/>
    <cellStyle name="Separador de milhares 12 10 3 20" xfId="1360"/>
    <cellStyle name="Separador de milhares 12 10 3 21" xfId="1361"/>
    <cellStyle name="Separador de milhares 12 10 3 3" xfId="1362"/>
    <cellStyle name="Separador de milhares 12 10 3 3 2" xfId="1363"/>
    <cellStyle name="Separador de milhares 12 10 3 4" xfId="1364"/>
    <cellStyle name="Separador de milhares 12 10 3 4 2" xfId="1365"/>
    <cellStyle name="Separador de milhares 12 10 3 5" xfId="1366"/>
    <cellStyle name="Separador de milhares 12 10 3 5 2" xfId="1367"/>
    <cellStyle name="Separador de milhares 12 10 3 6" xfId="1368"/>
    <cellStyle name="Separador de milhares 12 10 3 6 2" xfId="1369"/>
    <cellStyle name="Separador de milhares 12 10 3 7" xfId="1370"/>
    <cellStyle name="Separador de milhares 12 10 3 7 2" xfId="1371"/>
    <cellStyle name="Separador de milhares 12 10 3 8" xfId="1372"/>
    <cellStyle name="Separador de milhares 12 10 3 8 2" xfId="1373"/>
    <cellStyle name="Separador de milhares 12 10 3 9" xfId="1374"/>
    <cellStyle name="Separador de milhares 12 10 3 9 2" xfId="1375"/>
    <cellStyle name="Separador de milhares 12 10 30" xfId="1376"/>
    <cellStyle name="Separador de milhares 12 10 31" xfId="1377"/>
    <cellStyle name="Separador de milhares 12 10 32" xfId="1378"/>
    <cellStyle name="Separador de milhares 12 10 33" xfId="1379"/>
    <cellStyle name="Separador de milhares 12 10 34" xfId="1380"/>
    <cellStyle name="Separador de milhares 12 10 35" xfId="1381"/>
    <cellStyle name="Separador de milhares 12 10 36" xfId="1382"/>
    <cellStyle name="Separador de milhares 12 10 37" xfId="1383"/>
    <cellStyle name="Separador de milhares 12 10 38" xfId="1384"/>
    <cellStyle name="Separador de milhares 12 10 39" xfId="1385"/>
    <cellStyle name="Separador de milhares 12 10 39 2" xfId="1386"/>
    <cellStyle name="Separador de milhares 12 10 4" xfId="1387"/>
    <cellStyle name="Separador de milhares 12 10 4 2" xfId="1388"/>
    <cellStyle name="Separador de milhares 12 10 40" xfId="1389"/>
    <cellStyle name="Separador de milhares 12 10 40 2" xfId="1390"/>
    <cellStyle name="Separador de milhares 12 10 41" xfId="1391"/>
    <cellStyle name="Separador de milhares 12 10 41 2" xfId="1392"/>
    <cellStyle name="Separador de milhares 12 10 42" xfId="1393"/>
    <cellStyle name="Separador de milhares 12 10 42 2" xfId="1394"/>
    <cellStyle name="Separador de milhares 12 10 43" xfId="1395"/>
    <cellStyle name="Separador de milhares 12 10 44" xfId="1396"/>
    <cellStyle name="Separador de milhares 12 10 5" xfId="1397"/>
    <cellStyle name="Separador de milhares 12 10 5 2" xfId="1398"/>
    <cellStyle name="Separador de milhares 12 10 6" xfId="1399"/>
    <cellStyle name="Separador de milhares 12 10 6 2" xfId="1400"/>
    <cellStyle name="Separador de milhares 12 10 7" xfId="1401"/>
    <cellStyle name="Separador de milhares 12 10 7 2" xfId="1402"/>
    <cellStyle name="Separador de milhares 12 10 8" xfId="1403"/>
    <cellStyle name="Separador de milhares 12 10 8 2" xfId="1404"/>
    <cellStyle name="Separador de milhares 12 10 9" xfId="1405"/>
    <cellStyle name="Separador de milhares 12 10 9 2" xfId="1406"/>
    <cellStyle name="Separador de milhares 12 100" xfId="1407"/>
    <cellStyle name="Separador de milhares 12 101" xfId="1408"/>
    <cellStyle name="Separador de milhares 12 102" xfId="1409"/>
    <cellStyle name="Separador de milhares 12 103" xfId="1410"/>
    <cellStyle name="Separador de milhares 12 104" xfId="1411"/>
    <cellStyle name="Separador de milhares 12 105" xfId="1412"/>
    <cellStyle name="Separador de milhares 12 106" xfId="1413"/>
    <cellStyle name="Separador de milhares 12 106 2" xfId="1414"/>
    <cellStyle name="Separador de milhares 12 107" xfId="1415"/>
    <cellStyle name="Separador de milhares 12 107 2" xfId="1416"/>
    <cellStyle name="Separador de milhares 12 108" xfId="1417"/>
    <cellStyle name="Separador de milhares 12 108 2" xfId="1418"/>
    <cellStyle name="Separador de milhares 12 109" xfId="1419"/>
    <cellStyle name="Separador de milhares 12 109 2" xfId="1420"/>
    <cellStyle name="Separador de milhares 12 11" xfId="1421"/>
    <cellStyle name="Separador de milhares 12 11 2" xfId="1422"/>
    <cellStyle name="Separador de milhares 12 11 2 10" xfId="1423"/>
    <cellStyle name="Separador de milhares 12 11 2 11" xfId="1424"/>
    <cellStyle name="Separador de milhares 12 11 2 11 2" xfId="1425"/>
    <cellStyle name="Separador de milhares 12 11 2 12" xfId="1426"/>
    <cellStyle name="Separador de milhares 12 11 2 12 2" xfId="1427"/>
    <cellStyle name="Separador de milhares 12 11 2 13" xfId="1428"/>
    <cellStyle name="Separador de milhares 12 11 2 14" xfId="1429"/>
    <cellStyle name="Separador de milhares 12 11 2 15" xfId="1430"/>
    <cellStyle name="Separador de milhares 12 11 2 16" xfId="1431"/>
    <cellStyle name="Separador de milhares 12 11 2 17" xfId="1432"/>
    <cellStyle name="Separador de milhares 12 11 2 18" xfId="1433"/>
    <cellStyle name="Separador de milhares 12 11 2 19" xfId="1434"/>
    <cellStyle name="Separador de milhares 12 11 2 2" xfId="1435"/>
    <cellStyle name="Separador de milhares 12 11 2 20" xfId="1436"/>
    <cellStyle name="Separador de milhares 12 11 2 21" xfId="1437"/>
    <cellStyle name="Separador de milhares 12 11 2 22" xfId="1438"/>
    <cellStyle name="Separador de milhares 12 11 2 23" xfId="1439"/>
    <cellStyle name="Separador de milhares 12 11 2 24" xfId="1440"/>
    <cellStyle name="Separador de milhares 12 11 2 25" xfId="1441"/>
    <cellStyle name="Separador de milhares 12 11 2 26" xfId="1442"/>
    <cellStyle name="Separador de milhares 12 11 2 27" xfId="1443"/>
    <cellStyle name="Separador de milhares 12 11 2 28" xfId="1444"/>
    <cellStyle name="Separador de milhares 12 11 2 3" xfId="1445"/>
    <cellStyle name="Separador de milhares 12 11 2 4" xfId="1446"/>
    <cellStyle name="Separador de milhares 12 11 2 5" xfId="1447"/>
    <cellStyle name="Separador de milhares 12 11 2 6" xfId="1448"/>
    <cellStyle name="Separador de milhares 12 11 2 7" xfId="1449"/>
    <cellStyle name="Separador de milhares 12 11 2 8" xfId="1450"/>
    <cellStyle name="Separador de milhares 12 11 2 9" xfId="1451"/>
    <cellStyle name="Separador de milhares 12 11 3" xfId="1452"/>
    <cellStyle name="Separador de milhares 12 110" xfId="1453"/>
    <cellStyle name="Separador de milhares 12 12" xfId="1454"/>
    <cellStyle name="Separador de milhares 12 12 2" xfId="1455"/>
    <cellStyle name="Separador de milhares 12 13" xfId="1456"/>
    <cellStyle name="Separador de milhares 12 13 2" xfId="1457"/>
    <cellStyle name="Separador de milhares 12 14" xfId="1458"/>
    <cellStyle name="Separador de milhares 12 14 2" xfId="1459"/>
    <cellStyle name="Separador de milhares 12 15" xfId="1460"/>
    <cellStyle name="Separador de milhares 12 15 2" xfId="1461"/>
    <cellStyle name="Separador de milhares 12 16" xfId="1462"/>
    <cellStyle name="Separador de milhares 12 16 2" xfId="1463"/>
    <cellStyle name="Separador de milhares 12 17" xfId="1464"/>
    <cellStyle name="Separador de milhares 12 17 2" xfId="1465"/>
    <cellStyle name="Separador de milhares 12 18" xfId="1466"/>
    <cellStyle name="Separador de milhares 12 18 2" xfId="1467"/>
    <cellStyle name="Separador de milhares 12 19" xfId="1468"/>
    <cellStyle name="Separador de milhares 12 19 2" xfId="1469"/>
    <cellStyle name="Separador de milhares 12 2" xfId="1470"/>
    <cellStyle name="Separador de milhares 12 2 2" xfId="1471"/>
    <cellStyle name="Separador de milhares 12 20" xfId="1472"/>
    <cellStyle name="Separador de milhares 12 20 2" xfId="1473"/>
    <cellStyle name="Separador de milhares 12 21" xfId="1474"/>
    <cellStyle name="Separador de milhares 12 21 2" xfId="1475"/>
    <cellStyle name="Separador de milhares 12 22" xfId="1476"/>
    <cellStyle name="Separador de milhares 12 22 2" xfId="1477"/>
    <cellStyle name="Separador de milhares 12 23" xfId="1478"/>
    <cellStyle name="Separador de milhares 12 23 2" xfId="1479"/>
    <cellStyle name="Separador de milhares 12 24" xfId="1480"/>
    <cellStyle name="Separador de milhares 12 24 2" xfId="1481"/>
    <cellStyle name="Separador de milhares 12 25" xfId="1482"/>
    <cellStyle name="Separador de milhares 12 25 2" xfId="1483"/>
    <cellStyle name="Separador de milhares 12 26" xfId="1484"/>
    <cellStyle name="Separador de milhares 12 26 2" xfId="1485"/>
    <cellStyle name="Separador de milhares 12 27" xfId="1486"/>
    <cellStyle name="Separador de milhares 12 27 2" xfId="1487"/>
    <cellStyle name="Separador de milhares 12 28" xfId="1488"/>
    <cellStyle name="Separador de milhares 12 28 2" xfId="1489"/>
    <cellStyle name="Separador de milhares 12 29" xfId="1490"/>
    <cellStyle name="Separador de milhares 12 29 2" xfId="1491"/>
    <cellStyle name="Separador de milhares 12 3" xfId="1492"/>
    <cellStyle name="Separador de milhares 12 3 2" xfId="1493"/>
    <cellStyle name="Separador de milhares 12 30" xfId="1494"/>
    <cellStyle name="Separador de milhares 12 30 2" xfId="1495"/>
    <cellStyle name="Separador de milhares 12 31" xfId="1496"/>
    <cellStyle name="Separador de milhares 12 31 2" xfId="1497"/>
    <cellStyle name="Separador de milhares 12 32" xfId="1498"/>
    <cellStyle name="Separador de milhares 12 32 2" xfId="1499"/>
    <cellStyle name="Separador de milhares 12 33" xfId="1500"/>
    <cellStyle name="Separador de milhares 12 33 2" xfId="1501"/>
    <cellStyle name="Separador de milhares 12 34" xfId="1502"/>
    <cellStyle name="Separador de milhares 12 34 2" xfId="1503"/>
    <cellStyle name="Separador de milhares 12 35" xfId="1504"/>
    <cellStyle name="Separador de milhares 12 35 2" xfId="1505"/>
    <cellStyle name="Separador de milhares 12 36" xfId="1506"/>
    <cellStyle name="Separador de milhares 12 36 2" xfId="1507"/>
    <cellStyle name="Separador de milhares 12 37" xfId="1508"/>
    <cellStyle name="Separador de milhares 12 37 2" xfId="1509"/>
    <cellStyle name="Separador de milhares 12 38" xfId="1510"/>
    <cellStyle name="Separador de milhares 12 38 2" xfId="1511"/>
    <cellStyle name="Separador de milhares 12 39" xfId="1512"/>
    <cellStyle name="Separador de milhares 12 39 2" xfId="1513"/>
    <cellStyle name="Separador de milhares 12 4" xfId="1514"/>
    <cellStyle name="Separador de milhares 12 4 2" xfId="1515"/>
    <cellStyle name="Separador de milhares 12 40" xfId="1516"/>
    <cellStyle name="Separador de milhares 12 40 2" xfId="1517"/>
    <cellStyle name="Separador de milhares 12 41" xfId="1518"/>
    <cellStyle name="Separador de milhares 12 41 2" xfId="1519"/>
    <cellStyle name="Separador de milhares 12 42" xfId="1520"/>
    <cellStyle name="Separador de milhares 12 42 2" xfId="1521"/>
    <cellStyle name="Separador de milhares 12 43" xfId="1522"/>
    <cellStyle name="Separador de milhares 12 43 2" xfId="1523"/>
    <cellStyle name="Separador de milhares 12 44" xfId="1524"/>
    <cellStyle name="Separador de milhares 12 44 2" xfId="1525"/>
    <cellStyle name="Separador de milhares 12 45" xfId="1526"/>
    <cellStyle name="Separador de milhares 12 45 2" xfId="1527"/>
    <cellStyle name="Separador de milhares 12 46" xfId="1528"/>
    <cellStyle name="Separador de milhares 12 46 2" xfId="1529"/>
    <cellStyle name="Separador de milhares 12 47" xfId="1530"/>
    <cellStyle name="Separador de milhares 12 47 2" xfId="1531"/>
    <cellStyle name="Separador de milhares 12 48" xfId="1532"/>
    <cellStyle name="Separador de milhares 12 48 2" xfId="1533"/>
    <cellStyle name="Separador de milhares 12 49" xfId="1534"/>
    <cellStyle name="Separador de milhares 12 49 2" xfId="1535"/>
    <cellStyle name="Separador de milhares 12 5" xfId="1536"/>
    <cellStyle name="Separador de milhares 12 5 2" xfId="1537"/>
    <cellStyle name="Separador de milhares 12 50" xfId="1538"/>
    <cellStyle name="Separador de milhares 12 50 2" xfId="1539"/>
    <cellStyle name="Separador de milhares 12 51" xfId="1540"/>
    <cellStyle name="Separador de milhares 12 51 2" xfId="1541"/>
    <cellStyle name="Separador de milhares 12 52" xfId="1542"/>
    <cellStyle name="Separador de milhares 12 52 2" xfId="1543"/>
    <cellStyle name="Separador de milhares 12 53" xfId="1544"/>
    <cellStyle name="Separador de milhares 12 53 2" xfId="1545"/>
    <cellStyle name="Separador de milhares 12 54" xfId="1546"/>
    <cellStyle name="Separador de milhares 12 54 2" xfId="1547"/>
    <cellStyle name="Separador de milhares 12 55" xfId="1548"/>
    <cellStyle name="Separador de milhares 12 55 2" xfId="1549"/>
    <cellStyle name="Separador de milhares 12 56" xfId="1550"/>
    <cellStyle name="Separador de milhares 12 56 2" xfId="1551"/>
    <cellStyle name="Separador de milhares 12 57" xfId="1552"/>
    <cellStyle name="Separador de milhares 12 57 2" xfId="1553"/>
    <cellStyle name="Separador de milhares 12 58" xfId="1554"/>
    <cellStyle name="Separador de milhares 12 58 2" xfId="1555"/>
    <cellStyle name="Separador de milhares 12 59" xfId="1556"/>
    <cellStyle name="Separador de milhares 12 59 2" xfId="1557"/>
    <cellStyle name="Separador de milhares 12 6" xfId="1558"/>
    <cellStyle name="Separador de milhares 12 6 2" xfId="1559"/>
    <cellStyle name="Separador de milhares 12 60" xfId="1560"/>
    <cellStyle name="Separador de milhares 12 60 2" xfId="1561"/>
    <cellStyle name="Separador de milhares 12 61" xfId="1562"/>
    <cellStyle name="Separador de milhares 12 61 2" xfId="1563"/>
    <cellStyle name="Separador de milhares 12 62" xfId="1564"/>
    <cellStyle name="Separador de milhares 12 62 2" xfId="1565"/>
    <cellStyle name="Separador de milhares 12 63" xfId="1566"/>
    <cellStyle name="Separador de milhares 12 63 2" xfId="1567"/>
    <cellStyle name="Separador de milhares 12 64" xfId="1568"/>
    <cellStyle name="Separador de milhares 12 64 2" xfId="1569"/>
    <cellStyle name="Separador de milhares 12 65" xfId="1570"/>
    <cellStyle name="Separador de milhares 12 65 2" xfId="1571"/>
    <cellStyle name="Separador de milhares 12 65 2 2" xfId="1572"/>
    <cellStyle name="Separador de milhares 12 65 3" xfId="1573"/>
    <cellStyle name="Separador de milhares 12 65 3 2" xfId="1574"/>
    <cellStyle name="Separador de milhares 12 66" xfId="1575"/>
    <cellStyle name="Separador de milhares 12 66 10" xfId="1576"/>
    <cellStyle name="Separador de milhares 12 66 11" xfId="1577"/>
    <cellStyle name="Separador de milhares 12 66 12" xfId="1578"/>
    <cellStyle name="Separador de milhares 12 66 13" xfId="1579"/>
    <cellStyle name="Separador de milhares 12 66 14" xfId="1580"/>
    <cellStyle name="Separador de milhares 12 66 15" xfId="1581"/>
    <cellStyle name="Separador de milhares 12 66 16" xfId="1582"/>
    <cellStyle name="Separador de milhares 12 66 17" xfId="1583"/>
    <cellStyle name="Separador de milhares 12 66 18" xfId="1584"/>
    <cellStyle name="Separador de milhares 12 66 19" xfId="1585"/>
    <cellStyle name="Separador de milhares 12 66 2" xfId="1586"/>
    <cellStyle name="Separador de milhares 12 66 2 2" xfId="1587"/>
    <cellStyle name="Separador de milhares 12 66 2 3" xfId="1588"/>
    <cellStyle name="Separador de milhares 12 66 2 4" xfId="1589"/>
    <cellStyle name="Separador de milhares 12 66 2 5" xfId="1590"/>
    <cellStyle name="Separador de milhares 12 66 2 6" xfId="1591"/>
    <cellStyle name="Separador de milhares 12 66 20" xfId="1592"/>
    <cellStyle name="Separador de milhares 12 66 3" xfId="1593"/>
    <cellStyle name="Separador de milhares 12 66 4" xfId="1594"/>
    <cellStyle name="Separador de milhares 12 66 5" xfId="1595"/>
    <cellStyle name="Separador de milhares 12 66 6" xfId="1596"/>
    <cellStyle name="Separador de milhares 12 66 7" xfId="1597"/>
    <cellStyle name="Separador de milhares 12 66 8" xfId="1598"/>
    <cellStyle name="Separador de milhares 12 66 9" xfId="1599"/>
    <cellStyle name="Separador de milhares 12 67" xfId="1600"/>
    <cellStyle name="Separador de milhares 12 68" xfId="1601"/>
    <cellStyle name="Separador de milhares 12 69" xfId="1602"/>
    <cellStyle name="Separador de milhares 12 7" xfId="1603"/>
    <cellStyle name="Separador de milhares 12 7 2" xfId="1604"/>
    <cellStyle name="Separador de milhares 12 70" xfId="1605"/>
    <cellStyle name="Separador de milhares 12 71" xfId="1606"/>
    <cellStyle name="Separador de milhares 12 72" xfId="1607"/>
    <cellStyle name="Separador de milhares 12 73" xfId="1608"/>
    <cellStyle name="Separador de milhares 12 74" xfId="1609"/>
    <cellStyle name="Separador de milhares 12 75" xfId="1610"/>
    <cellStyle name="Separador de milhares 12 76" xfId="1611"/>
    <cellStyle name="Separador de milhares 12 77" xfId="1612"/>
    <cellStyle name="Separador de milhares 12 78" xfId="1613"/>
    <cellStyle name="Separador de milhares 12 79" xfId="1614"/>
    <cellStyle name="Separador de milhares 12 8" xfId="1615"/>
    <cellStyle name="Separador de milhares 12 8 2" xfId="1616"/>
    <cellStyle name="Separador de milhares 12 80" xfId="1617"/>
    <cellStyle name="Separador de milhares 12 81" xfId="1618"/>
    <cellStyle name="Separador de milhares 12 82" xfId="1619"/>
    <cellStyle name="Separador de milhares 12 83" xfId="1620"/>
    <cellStyle name="Separador de milhares 12 84" xfId="1621"/>
    <cellStyle name="Separador de milhares 12 85" xfId="1622"/>
    <cellStyle name="Separador de milhares 12 86" xfId="1623"/>
    <cellStyle name="Separador de milhares 12 87" xfId="1624"/>
    <cellStyle name="Separador de milhares 12 88" xfId="1625"/>
    <cellStyle name="Separador de milhares 12 89" xfId="1626"/>
    <cellStyle name="Separador de milhares 12 89 2" xfId="1627"/>
    <cellStyle name="Separador de milhares 12 89 3" xfId="1628"/>
    <cellStyle name="Separador de milhares 12 89 4" xfId="1629"/>
    <cellStyle name="Separador de milhares 12 89 5" xfId="1630"/>
    <cellStyle name="Separador de milhares 12 89 6" xfId="1631"/>
    <cellStyle name="Separador de milhares 12 89 7" xfId="1632"/>
    <cellStyle name="Separador de milhares 12 9" xfId="1633"/>
    <cellStyle name="Separador de milhares 12 9 2" xfId="1634"/>
    <cellStyle name="Separador de milhares 12 90" xfId="1635"/>
    <cellStyle name="Separador de milhares 12 91" xfId="1636"/>
    <cellStyle name="Separador de milhares 12 92" xfId="1637"/>
    <cellStyle name="Separador de milhares 12 93" xfId="1638"/>
    <cellStyle name="Separador de milhares 12 94" xfId="1639"/>
    <cellStyle name="Separador de milhares 12 95" xfId="1640"/>
    <cellStyle name="Separador de milhares 12 96" xfId="1641"/>
    <cellStyle name="Separador de milhares 12 97" xfId="1642"/>
    <cellStyle name="Separador de milhares 12 98" xfId="1643"/>
    <cellStyle name="Separador de milhares 12 99" xfId="1644"/>
    <cellStyle name="Separador de milhares 120" xfId="1645"/>
    <cellStyle name="Separador de milhares 121" xfId="1646"/>
    <cellStyle name="Separador de milhares 122" xfId="1647"/>
    <cellStyle name="Separador de milhares 123" xfId="1648"/>
    <cellStyle name="Separador de milhares 124" xfId="1649"/>
    <cellStyle name="Separador de milhares 125" xfId="1650"/>
    <cellStyle name="Separador de milhares 126" xfId="1651"/>
    <cellStyle name="Separador de milhares 127" xfId="1652"/>
    <cellStyle name="Separador de milhares 128" xfId="1653"/>
    <cellStyle name="Separador de milhares 129" xfId="1654"/>
    <cellStyle name="Separador de milhares 13" xfId="1655"/>
    <cellStyle name="Separador de milhares 13 10" xfId="1656"/>
    <cellStyle name="Separador de milhares 13 10 2" xfId="1657"/>
    <cellStyle name="Separador de milhares 13 10 3" xfId="1658"/>
    <cellStyle name="Separador de milhares 13 10 4" xfId="1659"/>
    <cellStyle name="Separador de milhares 13 11" xfId="1660"/>
    <cellStyle name="Separador de milhares 13 11 2" xfId="1661"/>
    <cellStyle name="Separador de milhares 13 11 3" xfId="1662"/>
    <cellStyle name="Separador de milhares 13 11 4" xfId="1663"/>
    <cellStyle name="Separador de milhares 13 12" xfId="1664"/>
    <cellStyle name="Separador de milhares 13 12 2" xfId="1665"/>
    <cellStyle name="Separador de milhares 13 12 3" xfId="1666"/>
    <cellStyle name="Separador de milhares 13 12 4" xfId="1667"/>
    <cellStyle name="Separador de milhares 13 13" xfId="1668"/>
    <cellStyle name="Separador de milhares 13 13 2" xfId="1669"/>
    <cellStyle name="Separador de milhares 13 13 3" xfId="1670"/>
    <cellStyle name="Separador de milhares 13 13 4" xfId="1671"/>
    <cellStyle name="Separador de milhares 13 14" xfId="1672"/>
    <cellStyle name="Separador de milhares 13 14 2" xfId="1673"/>
    <cellStyle name="Separador de milhares 13 14 3" xfId="1674"/>
    <cellStyle name="Separador de milhares 13 14 4" xfId="1675"/>
    <cellStyle name="Separador de milhares 13 15" xfId="1676"/>
    <cellStyle name="Separador de milhares 13 15 2" xfId="1677"/>
    <cellStyle name="Separador de milhares 13 15 3" xfId="1678"/>
    <cellStyle name="Separador de milhares 13 15 4" xfId="1679"/>
    <cellStyle name="Separador de milhares 13 16" xfId="1680"/>
    <cellStyle name="Separador de milhares 13 16 2" xfId="1681"/>
    <cellStyle name="Separador de milhares 13 16 3" xfId="1682"/>
    <cellStyle name="Separador de milhares 13 16 4" xfId="1683"/>
    <cellStyle name="Separador de milhares 13 2" xfId="1684"/>
    <cellStyle name="Separador de milhares 13 2 10" xfId="1685"/>
    <cellStyle name="Separador de milhares 13 2 10 2" xfId="1686"/>
    <cellStyle name="Separador de milhares 13 2 10 3" xfId="1687"/>
    <cellStyle name="Separador de milhares 13 2 10 4" xfId="1688"/>
    <cellStyle name="Separador de milhares 13 2 11" xfId="1689"/>
    <cellStyle name="Separador de milhares 13 2 11 2" xfId="1690"/>
    <cellStyle name="Separador de milhares 13 2 11 3" xfId="1691"/>
    <cellStyle name="Separador de milhares 13 2 11 4" xfId="1692"/>
    <cellStyle name="Separador de milhares 13 2 12" xfId="1693"/>
    <cellStyle name="Separador de milhares 13 2 12 2" xfId="1694"/>
    <cellStyle name="Separador de milhares 13 2 12 3" xfId="1695"/>
    <cellStyle name="Separador de milhares 13 2 12 4" xfId="1696"/>
    <cellStyle name="Separador de milhares 13 2 13" xfId="1697"/>
    <cellStyle name="Separador de milhares 13 2 13 2" xfId="1698"/>
    <cellStyle name="Separador de milhares 13 2 13 3" xfId="1699"/>
    <cellStyle name="Separador de milhares 13 2 13 4" xfId="1700"/>
    <cellStyle name="Separador de milhares 13 2 14" xfId="1701"/>
    <cellStyle name="Separador de milhares 13 2 14 2" xfId="1702"/>
    <cellStyle name="Separador de milhares 13 2 14 3" xfId="1703"/>
    <cellStyle name="Separador de milhares 13 2 14 4" xfId="1704"/>
    <cellStyle name="Separador de milhares 13 2 15" xfId="1705"/>
    <cellStyle name="Separador de milhares 13 2 15 2" xfId="1706"/>
    <cellStyle name="Separador de milhares 13 2 15 3" xfId="1707"/>
    <cellStyle name="Separador de milhares 13 2 15 4" xfId="1708"/>
    <cellStyle name="Separador de milhares 13 2 16" xfId="1709"/>
    <cellStyle name="Separador de milhares 13 2 16 2" xfId="1710"/>
    <cellStyle name="Separador de milhares 13 2 16 3" xfId="1711"/>
    <cellStyle name="Separador de milhares 13 2 16 4" xfId="1712"/>
    <cellStyle name="Separador de milhares 13 2 17" xfId="1713"/>
    <cellStyle name="Separador de milhares 13 2 18" xfId="1714"/>
    <cellStyle name="Separador de milhares 13 2 19" xfId="1715"/>
    <cellStyle name="Separador de milhares 13 2 2" xfId="1716"/>
    <cellStyle name="Separador de milhares 13 2 2 2" xfId="1717"/>
    <cellStyle name="Separador de milhares 13 2 2 3" xfId="1718"/>
    <cellStyle name="Separador de milhares 13 2 2 4" xfId="1719"/>
    <cellStyle name="Separador de milhares 13 2 3" xfId="1720"/>
    <cellStyle name="Separador de milhares 13 2 3 2" xfId="1721"/>
    <cellStyle name="Separador de milhares 13 2 3 3" xfId="1722"/>
    <cellStyle name="Separador de milhares 13 2 3 4" xfId="1723"/>
    <cellStyle name="Separador de milhares 13 2 4" xfId="1724"/>
    <cellStyle name="Separador de milhares 13 2 4 2" xfId="1725"/>
    <cellStyle name="Separador de milhares 13 2 4 3" xfId="1726"/>
    <cellStyle name="Separador de milhares 13 2 4 4" xfId="1727"/>
    <cellStyle name="Separador de milhares 13 2 5" xfId="1728"/>
    <cellStyle name="Separador de milhares 13 2 5 2" xfId="1729"/>
    <cellStyle name="Separador de milhares 13 2 5 3" xfId="1730"/>
    <cellStyle name="Separador de milhares 13 2 5 4" xfId="1731"/>
    <cellStyle name="Separador de milhares 13 2 6" xfId="1732"/>
    <cellStyle name="Separador de milhares 13 2 6 2" xfId="1733"/>
    <cellStyle name="Separador de milhares 13 2 6 3" xfId="1734"/>
    <cellStyle name="Separador de milhares 13 2 6 4" xfId="1735"/>
    <cellStyle name="Separador de milhares 13 2 7" xfId="1736"/>
    <cellStyle name="Separador de milhares 13 2 7 2" xfId="1737"/>
    <cellStyle name="Separador de milhares 13 2 7 3" xfId="1738"/>
    <cellStyle name="Separador de milhares 13 2 7 4" xfId="1739"/>
    <cellStyle name="Separador de milhares 13 2 8" xfId="1740"/>
    <cellStyle name="Separador de milhares 13 2 8 2" xfId="1741"/>
    <cellStyle name="Separador de milhares 13 2 8 3" xfId="1742"/>
    <cellStyle name="Separador de milhares 13 2 8 4" xfId="1743"/>
    <cellStyle name="Separador de milhares 13 2 9" xfId="1744"/>
    <cellStyle name="Separador de milhares 13 2 9 2" xfId="1745"/>
    <cellStyle name="Separador de milhares 13 2 9 3" xfId="1746"/>
    <cellStyle name="Separador de milhares 13 2 9 4" xfId="1747"/>
    <cellStyle name="Separador de milhares 13 3" xfId="1748"/>
    <cellStyle name="Separador de milhares 13 3 10" xfId="1749"/>
    <cellStyle name="Separador de milhares 13 3 10 2" xfId="1750"/>
    <cellStyle name="Separador de milhares 13 3 10 3" xfId="1751"/>
    <cellStyle name="Separador de milhares 13 3 10 4" xfId="1752"/>
    <cellStyle name="Separador de milhares 13 3 11" xfId="1753"/>
    <cellStyle name="Separador de milhares 13 3 11 2" xfId="1754"/>
    <cellStyle name="Separador de milhares 13 3 11 3" xfId="1755"/>
    <cellStyle name="Separador de milhares 13 3 11 4" xfId="1756"/>
    <cellStyle name="Separador de milhares 13 3 12" xfId="1757"/>
    <cellStyle name="Separador de milhares 13 3 12 2" xfId="1758"/>
    <cellStyle name="Separador de milhares 13 3 12 3" xfId="1759"/>
    <cellStyle name="Separador de milhares 13 3 12 4" xfId="1760"/>
    <cellStyle name="Separador de milhares 13 3 13" xfId="1761"/>
    <cellStyle name="Separador de milhares 13 3 13 2" xfId="1762"/>
    <cellStyle name="Separador de milhares 13 3 13 3" xfId="1763"/>
    <cellStyle name="Separador de milhares 13 3 13 4" xfId="1764"/>
    <cellStyle name="Separador de milhares 13 3 14" xfId="1765"/>
    <cellStyle name="Separador de milhares 13 3 14 2" xfId="1766"/>
    <cellStyle name="Separador de milhares 13 3 14 3" xfId="1767"/>
    <cellStyle name="Separador de milhares 13 3 14 4" xfId="1768"/>
    <cellStyle name="Separador de milhares 13 3 15" xfId="1769"/>
    <cellStyle name="Separador de milhares 13 3 15 2" xfId="1770"/>
    <cellStyle name="Separador de milhares 13 3 15 3" xfId="1771"/>
    <cellStyle name="Separador de milhares 13 3 15 4" xfId="1772"/>
    <cellStyle name="Separador de milhares 13 3 16" xfId="1773"/>
    <cellStyle name="Separador de milhares 13 3 16 2" xfId="1774"/>
    <cellStyle name="Separador de milhares 13 3 16 3" xfId="1775"/>
    <cellStyle name="Separador de milhares 13 3 16 4" xfId="1776"/>
    <cellStyle name="Separador de milhares 13 3 17" xfId="1777"/>
    <cellStyle name="Separador de milhares 13 3 18" xfId="1778"/>
    <cellStyle name="Separador de milhares 13 3 19" xfId="1779"/>
    <cellStyle name="Separador de milhares 13 3 2" xfId="1780"/>
    <cellStyle name="Separador de milhares 13 3 2 2" xfId="1781"/>
    <cellStyle name="Separador de milhares 13 3 2 3" xfId="1782"/>
    <cellStyle name="Separador de milhares 13 3 2 4" xfId="1783"/>
    <cellStyle name="Separador de milhares 13 3 3" xfId="1784"/>
    <cellStyle name="Separador de milhares 13 3 3 2" xfId="1785"/>
    <cellStyle name="Separador de milhares 13 3 3 3" xfId="1786"/>
    <cellStyle name="Separador de milhares 13 3 3 4" xfId="1787"/>
    <cellStyle name="Separador de milhares 13 3 4" xfId="1788"/>
    <cellStyle name="Separador de milhares 13 3 4 2" xfId="1789"/>
    <cellStyle name="Separador de milhares 13 3 4 3" xfId="1790"/>
    <cellStyle name="Separador de milhares 13 3 4 4" xfId="1791"/>
    <cellStyle name="Separador de milhares 13 3 5" xfId="1792"/>
    <cellStyle name="Separador de milhares 13 3 5 2" xfId="1793"/>
    <cellStyle name="Separador de milhares 13 3 5 3" xfId="1794"/>
    <cellStyle name="Separador de milhares 13 3 5 4" xfId="1795"/>
    <cellStyle name="Separador de milhares 13 3 6" xfId="1796"/>
    <cellStyle name="Separador de milhares 13 3 6 2" xfId="1797"/>
    <cellStyle name="Separador de milhares 13 3 6 3" xfId="1798"/>
    <cellStyle name="Separador de milhares 13 3 6 4" xfId="1799"/>
    <cellStyle name="Separador de milhares 13 3 7" xfId="1800"/>
    <cellStyle name="Separador de milhares 13 3 7 2" xfId="1801"/>
    <cellStyle name="Separador de milhares 13 3 7 3" xfId="1802"/>
    <cellStyle name="Separador de milhares 13 3 7 4" xfId="1803"/>
    <cellStyle name="Separador de milhares 13 3 8" xfId="1804"/>
    <cellStyle name="Separador de milhares 13 3 8 2" xfId="1805"/>
    <cellStyle name="Separador de milhares 13 3 8 3" xfId="1806"/>
    <cellStyle name="Separador de milhares 13 3 8 4" xfId="1807"/>
    <cellStyle name="Separador de milhares 13 3 9" xfId="1808"/>
    <cellStyle name="Separador de milhares 13 3 9 2" xfId="1809"/>
    <cellStyle name="Separador de milhares 13 3 9 3" xfId="1810"/>
    <cellStyle name="Separador de milhares 13 3 9 4" xfId="1811"/>
    <cellStyle name="Separador de milhares 13 4" xfId="1812"/>
    <cellStyle name="Separador de milhares 13 4 10" xfId="1813"/>
    <cellStyle name="Separador de milhares 13 4 10 2" xfId="1814"/>
    <cellStyle name="Separador de milhares 13 4 10 3" xfId="1815"/>
    <cellStyle name="Separador de milhares 13 4 10 4" xfId="1816"/>
    <cellStyle name="Separador de milhares 13 4 11" xfId="1817"/>
    <cellStyle name="Separador de milhares 13 4 11 2" xfId="1818"/>
    <cellStyle name="Separador de milhares 13 4 11 3" xfId="1819"/>
    <cellStyle name="Separador de milhares 13 4 11 4" xfId="1820"/>
    <cellStyle name="Separador de milhares 13 4 12" xfId="1821"/>
    <cellStyle name="Separador de milhares 13 4 12 2" xfId="1822"/>
    <cellStyle name="Separador de milhares 13 4 12 3" xfId="1823"/>
    <cellStyle name="Separador de milhares 13 4 12 4" xfId="1824"/>
    <cellStyle name="Separador de milhares 13 4 13" xfId="1825"/>
    <cellStyle name="Separador de milhares 13 4 13 2" xfId="1826"/>
    <cellStyle name="Separador de milhares 13 4 13 3" xfId="1827"/>
    <cellStyle name="Separador de milhares 13 4 13 4" xfId="1828"/>
    <cellStyle name="Separador de milhares 13 4 14" xfId="1829"/>
    <cellStyle name="Separador de milhares 13 4 14 2" xfId="1830"/>
    <cellStyle name="Separador de milhares 13 4 14 3" xfId="1831"/>
    <cellStyle name="Separador de milhares 13 4 14 4" xfId="1832"/>
    <cellStyle name="Separador de milhares 13 4 15" xfId="1833"/>
    <cellStyle name="Separador de milhares 13 4 15 2" xfId="1834"/>
    <cellStyle name="Separador de milhares 13 4 15 3" xfId="1835"/>
    <cellStyle name="Separador de milhares 13 4 15 4" xfId="1836"/>
    <cellStyle name="Separador de milhares 13 4 16" xfId="1837"/>
    <cellStyle name="Separador de milhares 13 4 16 2" xfId="1838"/>
    <cellStyle name="Separador de milhares 13 4 16 3" xfId="1839"/>
    <cellStyle name="Separador de milhares 13 4 16 4" xfId="1840"/>
    <cellStyle name="Separador de milhares 13 4 17" xfId="1841"/>
    <cellStyle name="Separador de milhares 13 4 18" xfId="1842"/>
    <cellStyle name="Separador de milhares 13 4 19" xfId="1843"/>
    <cellStyle name="Separador de milhares 13 4 2" xfId="1844"/>
    <cellStyle name="Separador de milhares 13 4 2 2" xfId="1845"/>
    <cellStyle name="Separador de milhares 13 4 2 3" xfId="1846"/>
    <cellStyle name="Separador de milhares 13 4 2 4" xfId="1847"/>
    <cellStyle name="Separador de milhares 13 4 3" xfId="1848"/>
    <cellStyle name="Separador de milhares 13 4 3 2" xfId="1849"/>
    <cellStyle name="Separador de milhares 13 4 3 3" xfId="1850"/>
    <cellStyle name="Separador de milhares 13 4 3 4" xfId="1851"/>
    <cellStyle name="Separador de milhares 13 4 4" xfId="1852"/>
    <cellStyle name="Separador de milhares 13 4 4 2" xfId="1853"/>
    <cellStyle name="Separador de milhares 13 4 4 3" xfId="1854"/>
    <cellStyle name="Separador de milhares 13 4 4 4" xfId="1855"/>
    <cellStyle name="Separador de milhares 13 4 5" xfId="1856"/>
    <cellStyle name="Separador de milhares 13 4 5 2" xfId="1857"/>
    <cellStyle name="Separador de milhares 13 4 5 3" xfId="1858"/>
    <cellStyle name="Separador de milhares 13 4 5 4" xfId="1859"/>
    <cellStyle name="Separador de milhares 13 4 6" xfId="1860"/>
    <cellStyle name="Separador de milhares 13 4 6 2" xfId="1861"/>
    <cellStyle name="Separador de milhares 13 4 6 3" xfId="1862"/>
    <cellStyle name="Separador de milhares 13 4 6 4" xfId="1863"/>
    <cellStyle name="Separador de milhares 13 4 7" xfId="1864"/>
    <cellStyle name="Separador de milhares 13 4 7 2" xfId="1865"/>
    <cellStyle name="Separador de milhares 13 4 7 3" xfId="1866"/>
    <cellStyle name="Separador de milhares 13 4 7 4" xfId="1867"/>
    <cellStyle name="Separador de milhares 13 4 8" xfId="1868"/>
    <cellStyle name="Separador de milhares 13 4 8 2" xfId="1869"/>
    <cellStyle name="Separador de milhares 13 4 8 3" xfId="1870"/>
    <cellStyle name="Separador de milhares 13 4 8 4" xfId="1871"/>
    <cellStyle name="Separador de milhares 13 4 9" xfId="1872"/>
    <cellStyle name="Separador de milhares 13 4 9 2" xfId="1873"/>
    <cellStyle name="Separador de milhares 13 4 9 3" xfId="1874"/>
    <cellStyle name="Separador de milhares 13 4 9 4" xfId="1875"/>
    <cellStyle name="Separador de milhares 13 5" xfId="1876"/>
    <cellStyle name="Separador de milhares 13 5 10" xfId="1877"/>
    <cellStyle name="Separador de milhares 13 5 10 2" xfId="1878"/>
    <cellStyle name="Separador de milhares 13 5 10 3" xfId="1879"/>
    <cellStyle name="Separador de milhares 13 5 10 4" xfId="1880"/>
    <cellStyle name="Separador de milhares 13 5 11" xfId="1881"/>
    <cellStyle name="Separador de milhares 13 5 11 2" xfId="1882"/>
    <cellStyle name="Separador de milhares 13 5 11 3" xfId="1883"/>
    <cellStyle name="Separador de milhares 13 5 11 4" xfId="1884"/>
    <cellStyle name="Separador de milhares 13 5 12" xfId="1885"/>
    <cellStyle name="Separador de milhares 13 5 12 2" xfId="1886"/>
    <cellStyle name="Separador de milhares 13 5 12 3" xfId="1887"/>
    <cellStyle name="Separador de milhares 13 5 12 4" xfId="1888"/>
    <cellStyle name="Separador de milhares 13 5 13" xfId="1889"/>
    <cellStyle name="Separador de milhares 13 5 13 2" xfId="1890"/>
    <cellStyle name="Separador de milhares 13 5 13 3" xfId="1891"/>
    <cellStyle name="Separador de milhares 13 5 13 4" xfId="1892"/>
    <cellStyle name="Separador de milhares 13 5 14" xfId="1893"/>
    <cellStyle name="Separador de milhares 13 5 14 2" xfId="1894"/>
    <cellStyle name="Separador de milhares 13 5 14 3" xfId="1895"/>
    <cellStyle name="Separador de milhares 13 5 14 4" xfId="1896"/>
    <cellStyle name="Separador de milhares 13 5 15" xfId="1897"/>
    <cellStyle name="Separador de milhares 13 5 15 2" xfId="1898"/>
    <cellStyle name="Separador de milhares 13 5 15 3" xfId="1899"/>
    <cellStyle name="Separador de milhares 13 5 15 4" xfId="1900"/>
    <cellStyle name="Separador de milhares 13 5 16" xfId="1901"/>
    <cellStyle name="Separador de milhares 13 5 16 2" xfId="1902"/>
    <cellStyle name="Separador de milhares 13 5 16 3" xfId="1903"/>
    <cellStyle name="Separador de milhares 13 5 16 4" xfId="1904"/>
    <cellStyle name="Separador de milhares 13 5 17" xfId="1905"/>
    <cellStyle name="Separador de milhares 13 5 18" xfId="1906"/>
    <cellStyle name="Separador de milhares 13 5 19" xfId="1907"/>
    <cellStyle name="Separador de milhares 13 5 2" xfId="1908"/>
    <cellStyle name="Separador de milhares 13 5 2 2" xfId="1909"/>
    <cellStyle name="Separador de milhares 13 5 2 3" xfId="1910"/>
    <cellStyle name="Separador de milhares 13 5 2 4" xfId="1911"/>
    <cellStyle name="Separador de milhares 13 5 3" xfId="1912"/>
    <cellStyle name="Separador de milhares 13 5 3 2" xfId="1913"/>
    <cellStyle name="Separador de milhares 13 5 3 3" xfId="1914"/>
    <cellStyle name="Separador de milhares 13 5 3 4" xfId="1915"/>
    <cellStyle name="Separador de milhares 13 5 4" xfId="1916"/>
    <cellStyle name="Separador de milhares 13 5 4 2" xfId="1917"/>
    <cellStyle name="Separador de milhares 13 5 4 3" xfId="1918"/>
    <cellStyle name="Separador de milhares 13 5 4 4" xfId="1919"/>
    <cellStyle name="Separador de milhares 13 5 5" xfId="1920"/>
    <cellStyle name="Separador de milhares 13 5 5 2" xfId="1921"/>
    <cellStyle name="Separador de milhares 13 5 5 3" xfId="1922"/>
    <cellStyle name="Separador de milhares 13 5 5 4" xfId="1923"/>
    <cellStyle name="Separador de milhares 13 5 6" xfId="1924"/>
    <cellStyle name="Separador de milhares 13 5 6 2" xfId="1925"/>
    <cellStyle name="Separador de milhares 13 5 6 3" xfId="1926"/>
    <cellStyle name="Separador de milhares 13 5 6 4" xfId="1927"/>
    <cellStyle name="Separador de milhares 13 5 7" xfId="1928"/>
    <cellStyle name="Separador de milhares 13 5 7 2" xfId="1929"/>
    <cellStyle name="Separador de milhares 13 5 7 3" xfId="1930"/>
    <cellStyle name="Separador de milhares 13 5 7 4" xfId="1931"/>
    <cellStyle name="Separador de milhares 13 5 8" xfId="1932"/>
    <cellStyle name="Separador de milhares 13 5 8 2" xfId="1933"/>
    <cellStyle name="Separador de milhares 13 5 8 3" xfId="1934"/>
    <cellStyle name="Separador de milhares 13 5 8 4" xfId="1935"/>
    <cellStyle name="Separador de milhares 13 5 9" xfId="1936"/>
    <cellStyle name="Separador de milhares 13 5 9 2" xfId="1937"/>
    <cellStyle name="Separador de milhares 13 5 9 3" xfId="1938"/>
    <cellStyle name="Separador de milhares 13 5 9 4" xfId="1939"/>
    <cellStyle name="Separador de milhares 13 6" xfId="1940"/>
    <cellStyle name="Separador de milhares 13 6 10" xfId="1941"/>
    <cellStyle name="Separador de milhares 13 6 10 2" xfId="1942"/>
    <cellStyle name="Separador de milhares 13 6 10 3" xfId="1943"/>
    <cellStyle name="Separador de milhares 13 6 10 4" xfId="1944"/>
    <cellStyle name="Separador de milhares 13 6 11" xfId="1945"/>
    <cellStyle name="Separador de milhares 13 6 11 2" xfId="1946"/>
    <cellStyle name="Separador de milhares 13 6 11 3" xfId="1947"/>
    <cellStyle name="Separador de milhares 13 6 11 4" xfId="1948"/>
    <cellStyle name="Separador de milhares 13 6 12" xfId="1949"/>
    <cellStyle name="Separador de milhares 13 6 12 2" xfId="1950"/>
    <cellStyle name="Separador de milhares 13 6 12 3" xfId="1951"/>
    <cellStyle name="Separador de milhares 13 6 12 4" xfId="1952"/>
    <cellStyle name="Separador de milhares 13 6 13" xfId="1953"/>
    <cellStyle name="Separador de milhares 13 6 13 2" xfId="1954"/>
    <cellStyle name="Separador de milhares 13 6 13 3" xfId="1955"/>
    <cellStyle name="Separador de milhares 13 6 13 4" xfId="1956"/>
    <cellStyle name="Separador de milhares 13 6 14" xfId="1957"/>
    <cellStyle name="Separador de milhares 13 6 14 2" xfId="1958"/>
    <cellStyle name="Separador de milhares 13 6 14 3" xfId="1959"/>
    <cellStyle name="Separador de milhares 13 6 14 4" xfId="1960"/>
    <cellStyle name="Separador de milhares 13 6 15" xfId="1961"/>
    <cellStyle name="Separador de milhares 13 6 15 2" xfId="1962"/>
    <cellStyle name="Separador de milhares 13 6 15 3" xfId="1963"/>
    <cellStyle name="Separador de milhares 13 6 15 4" xfId="1964"/>
    <cellStyle name="Separador de milhares 13 6 16" xfId="1965"/>
    <cellStyle name="Separador de milhares 13 6 16 2" xfId="1966"/>
    <cellStyle name="Separador de milhares 13 6 16 3" xfId="1967"/>
    <cellStyle name="Separador de milhares 13 6 16 4" xfId="1968"/>
    <cellStyle name="Separador de milhares 13 6 17" xfId="1969"/>
    <cellStyle name="Separador de milhares 13 6 18" xfId="1970"/>
    <cellStyle name="Separador de milhares 13 6 19" xfId="1971"/>
    <cellStyle name="Separador de milhares 13 6 2" xfId="1972"/>
    <cellStyle name="Separador de milhares 13 6 2 2" xfId="1973"/>
    <cellStyle name="Separador de milhares 13 6 2 3" xfId="1974"/>
    <cellStyle name="Separador de milhares 13 6 2 4" xfId="1975"/>
    <cellStyle name="Separador de milhares 13 6 3" xfId="1976"/>
    <cellStyle name="Separador de milhares 13 6 3 2" xfId="1977"/>
    <cellStyle name="Separador de milhares 13 6 3 3" xfId="1978"/>
    <cellStyle name="Separador de milhares 13 6 3 4" xfId="1979"/>
    <cellStyle name="Separador de milhares 13 6 4" xfId="1980"/>
    <cellStyle name="Separador de milhares 13 6 4 2" xfId="1981"/>
    <cellStyle name="Separador de milhares 13 6 4 3" xfId="1982"/>
    <cellStyle name="Separador de milhares 13 6 4 4" xfId="1983"/>
    <cellStyle name="Separador de milhares 13 6 5" xfId="1984"/>
    <cellStyle name="Separador de milhares 13 6 5 2" xfId="1985"/>
    <cellStyle name="Separador de milhares 13 6 5 3" xfId="1986"/>
    <cellStyle name="Separador de milhares 13 6 5 4" xfId="1987"/>
    <cellStyle name="Separador de milhares 13 6 6" xfId="1988"/>
    <cellStyle name="Separador de milhares 13 6 6 2" xfId="1989"/>
    <cellStyle name="Separador de milhares 13 6 6 3" xfId="1990"/>
    <cellStyle name="Separador de milhares 13 6 6 4" xfId="1991"/>
    <cellStyle name="Separador de milhares 13 6 7" xfId="1992"/>
    <cellStyle name="Separador de milhares 13 6 7 2" xfId="1993"/>
    <cellStyle name="Separador de milhares 13 6 7 3" xfId="1994"/>
    <cellStyle name="Separador de milhares 13 6 7 4" xfId="1995"/>
    <cellStyle name="Separador de milhares 13 6 8" xfId="1996"/>
    <cellStyle name="Separador de milhares 13 6 8 2" xfId="1997"/>
    <cellStyle name="Separador de milhares 13 6 8 3" xfId="1998"/>
    <cellStyle name="Separador de milhares 13 6 8 4" xfId="1999"/>
    <cellStyle name="Separador de milhares 13 6 9" xfId="2000"/>
    <cellStyle name="Separador de milhares 13 6 9 2" xfId="2001"/>
    <cellStyle name="Separador de milhares 13 6 9 3" xfId="2002"/>
    <cellStyle name="Separador de milhares 13 6 9 4" xfId="2003"/>
    <cellStyle name="Separador de milhares 13 7" xfId="2004"/>
    <cellStyle name="Separador de milhares 13 7 2" xfId="2005"/>
    <cellStyle name="Separador de milhares 13 7 3" xfId="2006"/>
    <cellStyle name="Separador de milhares 13 7 4" xfId="2007"/>
    <cellStyle name="Separador de milhares 13 8" xfId="2008"/>
    <cellStyle name="Separador de milhares 13 8 2" xfId="2009"/>
    <cellStyle name="Separador de milhares 13 8 3" xfId="2010"/>
    <cellStyle name="Separador de milhares 13 8 4" xfId="2011"/>
    <cellStyle name="Separador de milhares 13 9" xfId="2012"/>
    <cellStyle name="Separador de milhares 13 9 2" xfId="2013"/>
    <cellStyle name="Separador de milhares 13 9 3" xfId="2014"/>
    <cellStyle name="Separador de milhares 13 9 4" xfId="2015"/>
    <cellStyle name="Separador de milhares 130" xfId="2016"/>
    <cellStyle name="Separador de milhares 131" xfId="2017"/>
    <cellStyle name="Separador de milhares 132" xfId="2018"/>
    <cellStyle name="Separador de milhares 133" xfId="2019"/>
    <cellStyle name="Separador de milhares 134" xfId="2020"/>
    <cellStyle name="Separador de milhares 135" xfId="2021"/>
    <cellStyle name="Separador de milhares 136" xfId="2022"/>
    <cellStyle name="Separador de milhares 137" xfId="2023"/>
    <cellStyle name="Separador de milhares 138" xfId="2024"/>
    <cellStyle name="Separador de milhares 139" xfId="2025"/>
    <cellStyle name="Separador de milhares 14" xfId="2026"/>
    <cellStyle name="Separador de milhares 14 10" xfId="2027"/>
    <cellStyle name="Separador de milhares 14 10 2" xfId="2028"/>
    <cellStyle name="Separador de milhares 14 11" xfId="2029"/>
    <cellStyle name="Separador de milhares 14 11 2" xfId="2030"/>
    <cellStyle name="Separador de milhares 14 12" xfId="2031"/>
    <cellStyle name="Separador de milhares 14 12 2" xfId="2032"/>
    <cellStyle name="Separador de milhares 14 13" xfId="2033"/>
    <cellStyle name="Separador de milhares 14 13 2" xfId="2034"/>
    <cellStyle name="Separador de milhares 14 14" xfId="2035"/>
    <cellStyle name="Separador de milhares 14 14 2" xfId="2036"/>
    <cellStyle name="Separador de milhares 14 15" xfId="2037"/>
    <cellStyle name="Separador de milhares 14 15 2" xfId="2038"/>
    <cellStyle name="Separador de milhares 14 2" xfId="2039"/>
    <cellStyle name="Separador de milhares 14 2 2" xfId="2040"/>
    <cellStyle name="Separador de milhares 14 2 2 2" xfId="2041"/>
    <cellStyle name="Separador de milhares 14 2 3" xfId="2042"/>
    <cellStyle name="Separador de milhares 14 3" xfId="2043"/>
    <cellStyle name="Separador de milhares 14 3 2" xfId="2044"/>
    <cellStyle name="Separador de milhares 14 4" xfId="2045"/>
    <cellStyle name="Separador de milhares 14 4 2" xfId="2046"/>
    <cellStyle name="Separador de milhares 14 5" xfId="2047"/>
    <cellStyle name="Separador de milhares 14 5 2" xfId="2048"/>
    <cellStyle name="Separador de milhares 14 6" xfId="2049"/>
    <cellStyle name="Separador de milhares 14 6 2" xfId="2050"/>
    <cellStyle name="Separador de milhares 14 7" xfId="2051"/>
    <cellStyle name="Separador de milhares 14 7 2" xfId="2052"/>
    <cellStyle name="Separador de milhares 14 8" xfId="2053"/>
    <cellStyle name="Separador de milhares 14 8 2" xfId="2054"/>
    <cellStyle name="Separador de milhares 14 9" xfId="2055"/>
    <cellStyle name="Separador de milhares 14 9 2" xfId="2056"/>
    <cellStyle name="Separador de milhares 140" xfId="2057"/>
    <cellStyle name="Separador de milhares 141" xfId="2058"/>
    <cellStyle name="Separador de milhares 142" xfId="2059"/>
    <cellStyle name="Separador de milhares 143" xfId="2060"/>
    <cellStyle name="Separador de milhares 144" xfId="2061"/>
    <cellStyle name="Separador de milhares 145" xfId="2062"/>
    <cellStyle name="Separador de milhares 146" xfId="2063"/>
    <cellStyle name="Separador de milhares 147" xfId="2064"/>
    <cellStyle name="Separador de milhares 148" xfId="2065"/>
    <cellStyle name="Separador de milhares 149" xfId="2066"/>
    <cellStyle name="Separador de milhares 15" xfId="2067"/>
    <cellStyle name="Separador de milhares 150" xfId="2068"/>
    <cellStyle name="Separador de milhares 151" xfId="2069"/>
    <cellStyle name="Separador de milhares 152" xfId="2070"/>
    <cellStyle name="Separador de milhares 153" xfId="2071"/>
    <cellStyle name="Separador de milhares 154" xfId="2072"/>
    <cellStyle name="Separador de milhares 155" xfId="2073"/>
    <cellStyle name="Separador de milhares 156" xfId="2074"/>
    <cellStyle name="Separador de milhares 157" xfId="2075"/>
    <cellStyle name="Separador de milhares 158" xfId="2076"/>
    <cellStyle name="Separador de milhares 159" xfId="2077"/>
    <cellStyle name="Separador de milhares 16" xfId="2078"/>
    <cellStyle name="Separador de milhares 16 2" xfId="2079"/>
    <cellStyle name="Separador de milhares 160" xfId="2080"/>
    <cellStyle name="Separador de milhares 161" xfId="2081"/>
    <cellStyle name="Separador de milhares 162" xfId="2082"/>
    <cellStyle name="Separador de milhares 163" xfId="2083"/>
    <cellStyle name="Separador de milhares 164" xfId="2084"/>
    <cellStyle name="Separador de milhares 165" xfId="2085"/>
    <cellStyle name="Separador de milhares 166" xfId="2086"/>
    <cellStyle name="Separador de milhares 167" xfId="2087"/>
    <cellStyle name="Separador de milhares 168" xfId="2088"/>
    <cellStyle name="Separador de milhares 169" xfId="2089"/>
    <cellStyle name="Separador de milhares 17" xfId="2090"/>
    <cellStyle name="Separador de milhares 17 2" xfId="2091"/>
    <cellStyle name="Separador de milhares 17 2 2" xfId="2092"/>
    <cellStyle name="Separador de milhares 17 3" xfId="2093"/>
    <cellStyle name="Separador de milhares 17 3 2" xfId="2094"/>
    <cellStyle name="Separador de milhares 17 4" xfId="2095"/>
    <cellStyle name="Separador de milhares 17 4 2" xfId="2096"/>
    <cellStyle name="Separador de milhares 170" xfId="2097"/>
    <cellStyle name="Separador de milhares 171" xfId="2098"/>
    <cellStyle name="Separador de milhares 172" xfId="2099"/>
    <cellStyle name="Separador de milhares 173" xfId="2100"/>
    <cellStyle name="Separador de milhares 174" xfId="2101"/>
    <cellStyle name="Separador de milhares 175" xfId="2102"/>
    <cellStyle name="Separador de milhares 176" xfId="2103"/>
    <cellStyle name="Separador de milhares 177" xfId="2104"/>
    <cellStyle name="Separador de milhares 178" xfId="2105"/>
    <cellStyle name="Separador de milhares 179" xfId="2106"/>
    <cellStyle name="Separador de milhares 18" xfId="2107"/>
    <cellStyle name="Separador de milhares 180" xfId="2108"/>
    <cellStyle name="Separador de milhares 181" xfId="2109"/>
    <cellStyle name="Separador de milhares 182" xfId="2110"/>
    <cellStyle name="Separador de milhares 183" xfId="2111"/>
    <cellStyle name="Separador de milhares 184" xfId="2112"/>
    <cellStyle name="Separador de milhares 185" xfId="2113"/>
    <cellStyle name="Separador de milhares 186" xfId="2114"/>
    <cellStyle name="Separador de milhares 187" xfId="2115"/>
    <cellStyle name="Separador de milhares 188" xfId="2116"/>
    <cellStyle name="Separador de milhares 189" xfId="2117"/>
    <cellStyle name="Separador de milhares 19" xfId="2118"/>
    <cellStyle name="Separador de milhares 190" xfId="2119"/>
    <cellStyle name="Separador de milhares 191" xfId="2120"/>
    <cellStyle name="Separador de milhares 192" xfId="2121"/>
    <cellStyle name="Separador de milhares 193" xfId="2122"/>
    <cellStyle name="Separador de milhares 194" xfId="2123"/>
    <cellStyle name="Separador de milhares 195" xfId="2124"/>
    <cellStyle name="Separador de milhares 196" xfId="2125"/>
    <cellStyle name="Separador de milhares 197" xfId="2126"/>
    <cellStyle name="Separador de milhares 198" xfId="2127"/>
    <cellStyle name="Separador de milhares 199" xfId="2128"/>
    <cellStyle name="Separador de milhares 2 10" xfId="2129"/>
    <cellStyle name="Separador de milhares 2 10 2" xfId="2130"/>
    <cellStyle name="Separador de milhares 2 11" xfId="2131"/>
    <cellStyle name="Separador de milhares 2 11 2" xfId="2132"/>
    <cellStyle name="Separador de milhares 2 12" xfId="2133"/>
    <cellStyle name="Separador de milhares 2 12 2" xfId="2134"/>
    <cellStyle name="Separador de milhares 2 13" xfId="2135"/>
    <cellStyle name="Separador de milhares 2 14" xfId="2136"/>
    <cellStyle name="Separador de milhares 2 14 2" xfId="2137"/>
    <cellStyle name="Separador de milhares 2 15" xfId="2138"/>
    <cellStyle name="Separador de milhares 2 15 2" xfId="2139"/>
    <cellStyle name="Separador de milhares 2 16" xfId="2140"/>
    <cellStyle name="Separador de milhares 2 16 2" xfId="2141"/>
    <cellStyle name="Separador de milhares 2 17" xfId="2142"/>
    <cellStyle name="Separador de milhares 2 17 2" xfId="2143"/>
    <cellStyle name="Separador de milhares 2 18" xfId="2144"/>
    <cellStyle name="Separador de milhares 2 18 2" xfId="2145"/>
    <cellStyle name="Separador de milhares 2 19" xfId="2146"/>
    <cellStyle name="Separador de milhares 2 19 2" xfId="2147"/>
    <cellStyle name="Separador de milhares 2 2" xfId="2148"/>
    <cellStyle name="Separador de milhares 2 2 2" xfId="2149"/>
    <cellStyle name="Separador de milhares 2 2 3" xfId="2150"/>
    <cellStyle name="Separador de milhares 2 2 3 10" xfId="2151"/>
    <cellStyle name="Separador de milhares 2 2 3 11" xfId="2152"/>
    <cellStyle name="Separador de milhares 2 2 3 11 2" xfId="2153"/>
    <cellStyle name="Separador de milhares 2 2 3 12" xfId="2154"/>
    <cellStyle name="Separador de milhares 2 2 3 12 2" xfId="2155"/>
    <cellStyle name="Separador de milhares 2 2 3 13" xfId="2156"/>
    <cellStyle name="Separador de milhares 2 2 3 14" xfId="2157"/>
    <cellStyle name="Separador de milhares 2 2 3 15" xfId="2158"/>
    <cellStyle name="Separador de milhares 2 2 3 16" xfId="2159"/>
    <cellStyle name="Separador de milhares 2 2 3 17" xfId="2160"/>
    <cellStyle name="Separador de milhares 2 2 3 18" xfId="2161"/>
    <cellStyle name="Separador de milhares 2 2 3 19" xfId="2162"/>
    <cellStyle name="Separador de milhares 2 2 3 2" xfId="2163"/>
    <cellStyle name="Separador de milhares 2 2 3 20" xfId="2164"/>
    <cellStyle name="Separador de milhares 2 2 3 21" xfId="2165"/>
    <cellStyle name="Separador de milhares 2 2 3 22" xfId="2166"/>
    <cellStyle name="Separador de milhares 2 2 3 23" xfId="2167"/>
    <cellStyle name="Separador de milhares 2 2 3 24" xfId="2168"/>
    <cellStyle name="Separador de milhares 2 2 3 25" xfId="2169"/>
    <cellStyle name="Separador de milhares 2 2 3 26" xfId="2170"/>
    <cellStyle name="Separador de milhares 2 2 3 27" xfId="2171"/>
    <cellStyle name="Separador de milhares 2 2 3 28" xfId="2172"/>
    <cellStyle name="Separador de milhares 2 2 3 3" xfId="2173"/>
    <cellStyle name="Separador de milhares 2 2 3 4" xfId="2174"/>
    <cellStyle name="Separador de milhares 2 2 3 5" xfId="2175"/>
    <cellStyle name="Separador de milhares 2 2 3 6" xfId="2176"/>
    <cellStyle name="Separador de milhares 2 2 3 7" xfId="2177"/>
    <cellStyle name="Separador de milhares 2 2 3 8" xfId="2178"/>
    <cellStyle name="Separador de milhares 2 2 3 9" xfId="2179"/>
    <cellStyle name="Separador de milhares 2 2 4" xfId="2180"/>
    <cellStyle name="Separador de milhares 2 2 4 2" xfId="2181"/>
    <cellStyle name="Separador de milhares 2 2 5" xfId="2182"/>
    <cellStyle name="Separador de milhares 2 2 6" xfId="3213"/>
    <cellStyle name="Separador de milhares 2 20" xfId="2183"/>
    <cellStyle name="Separador de milhares 2 20 2" xfId="2184"/>
    <cellStyle name="Separador de milhares 2 21" xfId="2185"/>
    <cellStyle name="Separador de milhares 2 21 2" xfId="2186"/>
    <cellStyle name="Separador de milhares 2 21 3" xfId="2187"/>
    <cellStyle name="Separador de milhares 2 21 4" xfId="2188"/>
    <cellStyle name="Separador de milhares 2 21 5" xfId="2189"/>
    <cellStyle name="Separador de milhares 2 3" xfId="2190"/>
    <cellStyle name="Separador de milhares 2 3 10" xfId="2191"/>
    <cellStyle name="Separador de milhares 2 3 11" xfId="2192"/>
    <cellStyle name="Separador de milhares 2 3 12" xfId="2193"/>
    <cellStyle name="Separador de milhares 2 3 13" xfId="2194"/>
    <cellStyle name="Separador de milhares 2 3 14" xfId="2195"/>
    <cellStyle name="Separador de milhares 2 3 15" xfId="2196"/>
    <cellStyle name="Separador de milhares 2 3 16" xfId="2197"/>
    <cellStyle name="Separador de milhares 2 3 17" xfId="2198"/>
    <cellStyle name="Separador de milhares 2 3 18" xfId="2199"/>
    <cellStyle name="Separador de milhares 2 3 19" xfId="2200"/>
    <cellStyle name="Separador de milhares 2 3 2" xfId="2201"/>
    <cellStyle name="Separador de milhares 2 3 2 10" xfId="2202"/>
    <cellStyle name="Separador de milhares 2 3 2 11" xfId="2203"/>
    <cellStyle name="Separador de milhares 2 3 2 12" xfId="2204"/>
    <cellStyle name="Separador de milhares 2 3 2 13" xfId="2205"/>
    <cellStyle name="Separador de milhares 2 3 2 14" xfId="2206"/>
    <cellStyle name="Separador de milhares 2 3 2 15" xfId="2207"/>
    <cellStyle name="Separador de milhares 2 3 2 16" xfId="2208"/>
    <cellStyle name="Separador de milhares 2 3 2 17" xfId="2209"/>
    <cellStyle name="Separador de milhares 2 3 2 17 2" xfId="2210"/>
    <cellStyle name="Separador de milhares 2 3 2 18" xfId="2211"/>
    <cellStyle name="Separador de milhares 2 3 2 18 2" xfId="2212"/>
    <cellStyle name="Separador de milhares 2 3 2 19" xfId="2213"/>
    <cellStyle name="Separador de milhares 2 3 2 19 2" xfId="2214"/>
    <cellStyle name="Separador de milhares 2 3 2 2" xfId="2215"/>
    <cellStyle name="Separador de milhares 2 3 2 2 2" xfId="2216"/>
    <cellStyle name="Separador de milhares 2 3 2 2 3" xfId="2217"/>
    <cellStyle name="Separador de milhares 2 3 2 2 4" xfId="2218"/>
    <cellStyle name="Separador de milhares 2 3 2 2 5" xfId="2219"/>
    <cellStyle name="Separador de milhares 2 3 2 2 6" xfId="2220"/>
    <cellStyle name="Separador de milhares 2 3 2 2 7" xfId="2221"/>
    <cellStyle name="Separador de milhares 2 3 2 20" xfId="2222"/>
    <cellStyle name="Separador de milhares 2 3 2 20 2" xfId="2223"/>
    <cellStyle name="Separador de milhares 2 3 2 21" xfId="2224"/>
    <cellStyle name="Separador de milhares 2 3 2 22" xfId="2225"/>
    <cellStyle name="Separador de milhares 2 3 2 23" xfId="2226"/>
    <cellStyle name="Separador de milhares 2 3 2 3" xfId="2227"/>
    <cellStyle name="Separador de milhares 2 3 2 4" xfId="2228"/>
    <cellStyle name="Separador de milhares 2 3 2 5" xfId="2229"/>
    <cellStyle name="Separador de milhares 2 3 2 6" xfId="2230"/>
    <cellStyle name="Separador de milhares 2 3 2 7" xfId="2231"/>
    <cellStyle name="Separador de milhares 2 3 2 8" xfId="2232"/>
    <cellStyle name="Separador de milhares 2 3 2 9" xfId="2233"/>
    <cellStyle name="Separador de milhares 2 3 20" xfId="2234"/>
    <cellStyle name="Separador de milhares 2 3 21" xfId="2235"/>
    <cellStyle name="Separador de milhares 2 3 22" xfId="2236"/>
    <cellStyle name="Separador de milhares 2 3 23" xfId="2237"/>
    <cellStyle name="Separador de milhares 2 3 24" xfId="2238"/>
    <cellStyle name="Separador de milhares 2 3 25" xfId="2239"/>
    <cellStyle name="Separador de milhares 2 3 25 2" xfId="2240"/>
    <cellStyle name="Separador de milhares 2 3 25 3" xfId="2241"/>
    <cellStyle name="Separador de milhares 2 3 25 4" xfId="2242"/>
    <cellStyle name="Separador de milhares 2 3 25 5" xfId="2243"/>
    <cellStyle name="Separador de milhares 2 3 25 6" xfId="2244"/>
    <cellStyle name="Separador de milhares 2 3 26" xfId="2245"/>
    <cellStyle name="Separador de milhares 2 3 27" xfId="2246"/>
    <cellStyle name="Separador de milhares 2 3 28" xfId="2247"/>
    <cellStyle name="Separador de milhares 2 3 28 2" xfId="2248"/>
    <cellStyle name="Separador de milhares 2 3 29" xfId="2249"/>
    <cellStyle name="Separador de milhares 2 3 29 2" xfId="2250"/>
    <cellStyle name="Separador de milhares 2 3 3" xfId="2251"/>
    <cellStyle name="Separador de milhares 2 3 30" xfId="2252"/>
    <cellStyle name="Separador de milhares 2 3 30 2" xfId="2253"/>
    <cellStyle name="Separador de milhares 2 3 31" xfId="2254"/>
    <cellStyle name="Separador de milhares 2 3 31 2" xfId="2255"/>
    <cellStyle name="Separador de milhares 2 3 32" xfId="2256"/>
    <cellStyle name="Separador de milhares 2 3 32 2" xfId="2257"/>
    <cellStyle name="Separador de milhares 2 3 33" xfId="2258"/>
    <cellStyle name="Separador de milhares 2 3 33 2" xfId="2259"/>
    <cellStyle name="Separador de milhares 2 3 34" xfId="2260"/>
    <cellStyle name="Separador de milhares 2 3 34 2" xfId="2261"/>
    <cellStyle name="Separador de milhares 2 3 35" xfId="2262"/>
    <cellStyle name="Separador de milhares 2 3 35 2" xfId="2263"/>
    <cellStyle name="Separador de milhares 2 3 36" xfId="2264"/>
    <cellStyle name="Separador de milhares 2 3 36 2" xfId="2265"/>
    <cellStyle name="Separador de milhares 2 3 37" xfId="2266"/>
    <cellStyle name="Separador de milhares 2 3 37 2" xfId="2267"/>
    <cellStyle name="Separador de milhares 2 3 38" xfId="2268"/>
    <cellStyle name="Separador de milhares 2 3 38 2" xfId="2269"/>
    <cellStyle name="Separador de milhares 2 3 39" xfId="2270"/>
    <cellStyle name="Separador de milhares 2 3 39 2" xfId="2271"/>
    <cellStyle name="Separador de milhares 2 3 4" xfId="2272"/>
    <cellStyle name="Separador de milhares 2 3 40" xfId="2273"/>
    <cellStyle name="Separador de milhares 2 3 40 2" xfId="2274"/>
    <cellStyle name="Separador de milhares 2 3 41" xfId="2275"/>
    <cellStyle name="Separador de milhares 2 3 41 2" xfId="2276"/>
    <cellStyle name="Separador de milhares 2 3 42" xfId="2277"/>
    <cellStyle name="Separador de milhares 2 3 43" xfId="2278"/>
    <cellStyle name="Separador de milhares 2 3 44" xfId="2279"/>
    <cellStyle name="Separador de milhares 2 3 45" xfId="2280"/>
    <cellStyle name="Separador de milhares 2 3 46" xfId="2281"/>
    <cellStyle name="Separador de milhares 2 3 46 2" xfId="2282"/>
    <cellStyle name="Separador de milhares 2 3 47" xfId="2283"/>
    <cellStyle name="Separador de milhares 2 3 48" xfId="2284"/>
    <cellStyle name="Separador de milhares 2 3 49" xfId="2285"/>
    <cellStyle name="Separador de milhares 2 3 5" xfId="2286"/>
    <cellStyle name="Separador de milhares 2 3 6" xfId="2287"/>
    <cellStyle name="Separador de milhares 2 3 7" xfId="2288"/>
    <cellStyle name="Separador de milhares 2 3 8" xfId="2289"/>
    <cellStyle name="Separador de milhares 2 3 9" xfId="2290"/>
    <cellStyle name="Separador de milhares 2 3_Orc. Com. 01-12 - Dren Pluvial_Pav_Com Boa Esperanca_VALENDO" xfId="2291"/>
    <cellStyle name="Separador de milhares 2 4" xfId="2292"/>
    <cellStyle name="Separador de milhares 2 4 2" xfId="2293"/>
    <cellStyle name="Separador de milhares 2 5" xfId="2294"/>
    <cellStyle name="Separador de milhares 2 6" xfId="2295"/>
    <cellStyle name="Separador de milhares 2 7" xfId="2296"/>
    <cellStyle name="Separador de milhares 2 7 2" xfId="2297"/>
    <cellStyle name="Separador de milhares 2 8" xfId="2298"/>
    <cellStyle name="Separador de milhares 2 8 2" xfId="2299"/>
    <cellStyle name="Separador de milhares 2 9" xfId="2300"/>
    <cellStyle name="Separador de milhares 2 9 2" xfId="2301"/>
    <cellStyle name="Separador de milhares 20" xfId="2302"/>
    <cellStyle name="Separador de milhares 200" xfId="2303"/>
    <cellStyle name="Separador de milhares 201" xfId="2304"/>
    <cellStyle name="Separador de milhares 202" xfId="2305"/>
    <cellStyle name="Separador de milhares 203" xfId="2306"/>
    <cellStyle name="Separador de milhares 204" xfId="2307"/>
    <cellStyle name="Separador de milhares 205" xfId="2308"/>
    <cellStyle name="Separador de milhares 206" xfId="2309"/>
    <cellStyle name="Separador de milhares 207" xfId="2310"/>
    <cellStyle name="Separador de milhares 208" xfId="2311"/>
    <cellStyle name="Separador de milhares 209" xfId="2312"/>
    <cellStyle name="Separador de milhares 21" xfId="2313"/>
    <cellStyle name="Separador de milhares 210" xfId="2314"/>
    <cellStyle name="Separador de milhares 211" xfId="2315"/>
    <cellStyle name="Separador de milhares 212" xfId="2316"/>
    <cellStyle name="Separador de milhares 213" xfId="2317"/>
    <cellStyle name="Separador de milhares 214" xfId="2318"/>
    <cellStyle name="Separador de milhares 215" xfId="2319"/>
    <cellStyle name="Separador de milhares 216" xfId="2320"/>
    <cellStyle name="Separador de milhares 217" xfId="2321"/>
    <cellStyle name="Separador de milhares 218" xfId="2322"/>
    <cellStyle name="Separador de milhares 219" xfId="2323"/>
    <cellStyle name="Separador de milhares 22" xfId="2324"/>
    <cellStyle name="Separador de milhares 220" xfId="2325"/>
    <cellStyle name="Separador de milhares 221" xfId="2326"/>
    <cellStyle name="Separador de milhares 222" xfId="2327"/>
    <cellStyle name="Separador de milhares 223" xfId="2328"/>
    <cellStyle name="Separador de milhares 224" xfId="2329"/>
    <cellStyle name="Separador de milhares 225" xfId="2330"/>
    <cellStyle name="Separador de milhares 226" xfId="2331"/>
    <cellStyle name="Separador de milhares 227" xfId="2332"/>
    <cellStyle name="Separador de milhares 228" xfId="2333"/>
    <cellStyle name="Separador de milhares 229" xfId="2334"/>
    <cellStyle name="Separador de milhares 23" xfId="2335"/>
    <cellStyle name="Separador de milhares 23 2" xfId="2336"/>
    <cellStyle name="Separador de milhares 23 2 2" xfId="2337"/>
    <cellStyle name="Separador de milhares 23 3" xfId="2338"/>
    <cellStyle name="Separador de milhares 23 3 2" xfId="2339"/>
    <cellStyle name="Separador de milhares 23 4" xfId="2340"/>
    <cellStyle name="Separador de milhares 23 4 2" xfId="2341"/>
    <cellStyle name="Separador de milhares 23 5" xfId="2342"/>
    <cellStyle name="Separador de milhares 23 5 2" xfId="2343"/>
    <cellStyle name="Separador de milhares 23 6" xfId="2344"/>
    <cellStyle name="Separador de milhares 23 6 2" xfId="2345"/>
    <cellStyle name="Separador de milhares 230" xfId="2346"/>
    <cellStyle name="Separador de milhares 231" xfId="2347"/>
    <cellStyle name="Separador de milhares 232" xfId="2348"/>
    <cellStyle name="Separador de milhares 233" xfId="2349"/>
    <cellStyle name="Separador de milhares 234" xfId="2350"/>
    <cellStyle name="Separador de milhares 235" xfId="2351"/>
    <cellStyle name="Separador de milhares 236" xfId="2352"/>
    <cellStyle name="Separador de milhares 237" xfId="2353"/>
    <cellStyle name="Separador de milhares 238" xfId="2354"/>
    <cellStyle name="Separador de milhares 239" xfId="2355"/>
    <cellStyle name="Separador de milhares 24" xfId="2356"/>
    <cellStyle name="Separador de milhares 240" xfId="2357"/>
    <cellStyle name="Separador de milhares 241" xfId="2358"/>
    <cellStyle name="Separador de milhares 242" xfId="2359"/>
    <cellStyle name="Separador de milhares 243" xfId="2360"/>
    <cellStyle name="Separador de milhares 244" xfId="2361"/>
    <cellStyle name="Separador de milhares 245" xfId="2362"/>
    <cellStyle name="Separador de milhares 246" xfId="2363"/>
    <cellStyle name="Separador de milhares 247" xfId="2364"/>
    <cellStyle name="Separador de milhares 247 2" xfId="2365"/>
    <cellStyle name="Separador de milhares 248" xfId="2366"/>
    <cellStyle name="Separador de milhares 249" xfId="2367"/>
    <cellStyle name="Separador de milhares 249 2" xfId="2368"/>
    <cellStyle name="Separador de milhares 249 2 2" xfId="2369"/>
    <cellStyle name="Separador de milhares 249 2 3" xfId="2370"/>
    <cellStyle name="Separador de milhares 249 2 4" xfId="2371"/>
    <cellStyle name="Separador de milhares 249 3" xfId="2372"/>
    <cellStyle name="Separador de milhares 249 4" xfId="2373"/>
    <cellStyle name="Separador de milhares 249 5" xfId="2374"/>
    <cellStyle name="Separador de milhares 25" xfId="2375"/>
    <cellStyle name="Separador de milhares 250" xfId="2376"/>
    <cellStyle name="Separador de milhares 251" xfId="2377"/>
    <cellStyle name="Separador de milhares 252" xfId="2378"/>
    <cellStyle name="Separador de milhares 253" xfId="2379"/>
    <cellStyle name="Separador de milhares 254" xfId="2380"/>
    <cellStyle name="Separador de milhares 255" xfId="2381"/>
    <cellStyle name="Separador de milhares 26" xfId="2382"/>
    <cellStyle name="Separador de milhares 26 2" xfId="2383"/>
    <cellStyle name="Separador de milhares 27" xfId="2384"/>
    <cellStyle name="Separador de milhares 28" xfId="2385"/>
    <cellStyle name="Separador de milhares 28 2" xfId="2386"/>
    <cellStyle name="Separador de milhares 28 2 2" xfId="2387"/>
    <cellStyle name="Separador de milhares 28 3" xfId="2388"/>
    <cellStyle name="Separador de milhares 28 3 2" xfId="2389"/>
    <cellStyle name="Separador de milhares 28 4" xfId="2390"/>
    <cellStyle name="Separador de milhares 28 4 2" xfId="2391"/>
    <cellStyle name="Separador de milhares 28_Planilha MODELO" xfId="2392"/>
    <cellStyle name="Separador de milhares 29" xfId="2393"/>
    <cellStyle name="Separador de milhares 3 10" xfId="2394"/>
    <cellStyle name="Separador de milhares 3 10 2" xfId="2395"/>
    <cellStyle name="Separador de milhares 3 11" xfId="2396"/>
    <cellStyle name="Separador de milhares 3 11 2" xfId="2397"/>
    <cellStyle name="Separador de milhares 3 12" xfId="2398"/>
    <cellStyle name="Separador de milhares 3 12 2" xfId="2399"/>
    <cellStyle name="Separador de milhares 3 13" xfId="2400"/>
    <cellStyle name="Separador de milhares 3 13 2" xfId="2401"/>
    <cellStyle name="Separador de milhares 3 14" xfId="2402"/>
    <cellStyle name="Separador de milhares 3 14 2" xfId="2403"/>
    <cellStyle name="Separador de milhares 3 15" xfId="2404"/>
    <cellStyle name="Separador de milhares 3 15 2" xfId="2405"/>
    <cellStyle name="Separador de milhares 3 16" xfId="2406"/>
    <cellStyle name="Separador de milhares 3 16 2" xfId="2407"/>
    <cellStyle name="Separador de milhares 3 17" xfId="2408"/>
    <cellStyle name="Separador de milhares 3 17 2" xfId="2409"/>
    <cellStyle name="Separador de milhares 3 18" xfId="2410"/>
    <cellStyle name="Separador de milhares 3 18 2" xfId="2411"/>
    <cellStyle name="Separador de milhares 3 19" xfId="2412"/>
    <cellStyle name="Separador de milhares 3 19 2" xfId="2413"/>
    <cellStyle name="Separador de milhares 3 2" xfId="2414"/>
    <cellStyle name="Separador de milhares 3 2 2" xfId="2415"/>
    <cellStyle name="Separador de milhares 3 2 2 2" xfId="2416"/>
    <cellStyle name="Separador de milhares 3 2 2 3" xfId="2417"/>
    <cellStyle name="Separador de milhares 3 2 2 4" xfId="2418"/>
    <cellStyle name="Separador de milhares 3 2 3" xfId="2419"/>
    <cellStyle name="Separador de milhares 3 2 3 2" xfId="2420"/>
    <cellStyle name="Separador de milhares 3 2 3 3" xfId="2421"/>
    <cellStyle name="Separador de milhares 3 2 3 4" xfId="2422"/>
    <cellStyle name="Separador de milhares 3 2 4" xfId="2423"/>
    <cellStyle name="Separador de milhares 3 2 5" xfId="2424"/>
    <cellStyle name="Separador de milhares 3 2 6" xfId="2425"/>
    <cellStyle name="Separador de milhares 3 20" xfId="2426"/>
    <cellStyle name="Separador de milhares 3 20 2" xfId="2427"/>
    <cellStyle name="Separador de milhares 3 21" xfId="2428"/>
    <cellStyle name="Separador de milhares 3 21 2" xfId="2429"/>
    <cellStyle name="Separador de milhares 3 22" xfId="2430"/>
    <cellStyle name="Separador de milhares 3 22 2" xfId="2431"/>
    <cellStyle name="Separador de milhares 3 23" xfId="2432"/>
    <cellStyle name="Separador de milhares 3 23 2" xfId="2433"/>
    <cellStyle name="Separador de milhares 3 24" xfId="2434"/>
    <cellStyle name="Separador de milhares 3 24 2" xfId="2435"/>
    <cellStyle name="Separador de milhares 3 25" xfId="2436"/>
    <cellStyle name="Separador de milhares 3 25 2" xfId="2437"/>
    <cellStyle name="Separador de milhares 3 26" xfId="2438"/>
    <cellStyle name="Separador de milhares 3 26 2" xfId="2439"/>
    <cellStyle name="Separador de milhares 3 27" xfId="2440"/>
    <cellStyle name="Separador de milhares 3 27 2" xfId="2441"/>
    <cellStyle name="Separador de milhares 3 28" xfId="2442"/>
    <cellStyle name="Separador de milhares 3 28 2" xfId="2443"/>
    <cellStyle name="Separador de milhares 3 29" xfId="2444"/>
    <cellStyle name="Separador de milhares 3 29 2" xfId="2445"/>
    <cellStyle name="Separador de milhares 3 3" xfId="2446"/>
    <cellStyle name="Separador de milhares 3 3 2" xfId="2447"/>
    <cellStyle name="Separador de milhares 3 3 3" xfId="2448"/>
    <cellStyle name="Separador de milhares 3 3 4" xfId="2449"/>
    <cellStyle name="Separador de milhares 3 30" xfId="2450"/>
    <cellStyle name="Separador de milhares 3 30 2" xfId="2451"/>
    <cellStyle name="Separador de milhares 3 31" xfId="2452"/>
    <cellStyle name="Separador de milhares 3 31 2" xfId="2453"/>
    <cellStyle name="Separador de milhares 3 32" xfId="2454"/>
    <cellStyle name="Separador de milhares 3 32 2" xfId="2455"/>
    <cellStyle name="Separador de milhares 3 33" xfId="2456"/>
    <cellStyle name="Separador de milhares 3 33 2" xfId="2457"/>
    <cellStyle name="Separador de milhares 3 34" xfId="2458"/>
    <cellStyle name="Separador de milhares 3 34 2" xfId="2459"/>
    <cellStyle name="Separador de milhares 3 35" xfId="2460"/>
    <cellStyle name="Separador de milhares 3 35 2" xfId="2461"/>
    <cellStyle name="Separador de milhares 3 36" xfId="2462"/>
    <cellStyle name="Separador de milhares 3 36 2" xfId="2463"/>
    <cellStyle name="Separador de milhares 3 37" xfId="2464"/>
    <cellStyle name="Separador de milhares 3 37 2" xfId="2465"/>
    <cellStyle name="Separador de milhares 3 38" xfId="2466"/>
    <cellStyle name="Separador de milhares 3 38 2" xfId="2467"/>
    <cellStyle name="Separador de milhares 3 39" xfId="2468"/>
    <cellStyle name="Separador de milhares 3 39 2" xfId="2469"/>
    <cellStyle name="Separador de milhares 3 4" xfId="2470"/>
    <cellStyle name="Separador de milhares 3 4 2" xfId="2471"/>
    <cellStyle name="Separador de milhares 3 4 3" xfId="2472"/>
    <cellStyle name="Separador de milhares 3 4 4" xfId="2473"/>
    <cellStyle name="Separador de milhares 3 40" xfId="2474"/>
    <cellStyle name="Separador de milhares 3 40 2" xfId="2475"/>
    <cellStyle name="Separador de milhares 3 41" xfId="2476"/>
    <cellStyle name="Separador de milhares 3 41 2" xfId="2477"/>
    <cellStyle name="Separador de milhares 3 42" xfId="2478"/>
    <cellStyle name="Separador de milhares 3 42 2" xfId="2479"/>
    <cellStyle name="Separador de milhares 3 43" xfId="2480"/>
    <cellStyle name="Separador de milhares 3 43 2" xfId="2481"/>
    <cellStyle name="Separador de milhares 3 44" xfId="2482"/>
    <cellStyle name="Separador de milhares 3 44 2" xfId="2483"/>
    <cellStyle name="Separador de milhares 3 45" xfId="2484"/>
    <cellStyle name="Separador de milhares 3 45 2" xfId="2485"/>
    <cellStyle name="Separador de milhares 3 46" xfId="2486"/>
    <cellStyle name="Separador de milhares 3 46 2" xfId="2487"/>
    <cellStyle name="Separador de milhares 3 47" xfId="2488"/>
    <cellStyle name="Separador de milhares 3 47 2" xfId="2489"/>
    <cellStyle name="Separador de milhares 3 48" xfId="2490"/>
    <cellStyle name="Separador de milhares 3 48 2" xfId="2491"/>
    <cellStyle name="Separador de milhares 3 49" xfId="2492"/>
    <cellStyle name="Separador de milhares 3 49 2" xfId="2493"/>
    <cellStyle name="Separador de milhares 3 5" xfId="2494"/>
    <cellStyle name="Separador de milhares 3 5 2" xfId="2495"/>
    <cellStyle name="Separador de milhares 3 50" xfId="2496"/>
    <cellStyle name="Separador de milhares 3 50 2" xfId="2497"/>
    <cellStyle name="Separador de milhares 3 51" xfId="2498"/>
    <cellStyle name="Separador de milhares 3 51 2" xfId="2499"/>
    <cellStyle name="Separador de milhares 3 52" xfId="2500"/>
    <cellStyle name="Separador de milhares 3 52 2" xfId="2501"/>
    <cellStyle name="Separador de milhares 3 53" xfId="2502"/>
    <cellStyle name="Separador de milhares 3 53 2" xfId="2503"/>
    <cellStyle name="Separador de milhares 3 54" xfId="2504"/>
    <cellStyle name="Separador de milhares 3 54 2" xfId="2505"/>
    <cellStyle name="Separador de milhares 3 55" xfId="2506"/>
    <cellStyle name="Separador de milhares 3 55 2" xfId="2507"/>
    <cellStyle name="Separador de milhares 3 56" xfId="2508"/>
    <cellStyle name="Separador de milhares 3 56 2" xfId="2509"/>
    <cellStyle name="Separador de milhares 3 57" xfId="2510"/>
    <cellStyle name="Separador de milhares 3 57 2" xfId="2511"/>
    <cellStyle name="Separador de milhares 3 58" xfId="2512"/>
    <cellStyle name="Separador de milhares 3 58 2" xfId="2513"/>
    <cellStyle name="Separador de milhares 3 59" xfId="2514"/>
    <cellStyle name="Separador de milhares 3 59 2" xfId="2515"/>
    <cellStyle name="Separador de milhares 3 6" xfId="2516"/>
    <cellStyle name="Separador de milhares 3 6 2" xfId="2517"/>
    <cellStyle name="Separador de milhares 3 60" xfId="2518"/>
    <cellStyle name="Separador de milhares 3 60 2" xfId="2519"/>
    <cellStyle name="Separador de milhares 3 61" xfId="2520"/>
    <cellStyle name="Separador de milhares 3 61 2" xfId="2521"/>
    <cellStyle name="Separador de milhares 3 62" xfId="2522"/>
    <cellStyle name="Separador de milhares 3 62 2" xfId="2523"/>
    <cellStyle name="Separador de milhares 3 63" xfId="2524"/>
    <cellStyle name="Separador de milhares 3 63 2" xfId="2525"/>
    <cellStyle name="Separador de milhares 3 64" xfId="2526"/>
    <cellStyle name="Separador de milhares 3 64 2" xfId="2527"/>
    <cellStyle name="Separador de milhares 3 65" xfId="2528"/>
    <cellStyle name="Separador de milhares 3 65 2" xfId="2529"/>
    <cellStyle name="Separador de milhares 3 66" xfId="2530"/>
    <cellStyle name="Separador de milhares 3 66 2" xfId="2531"/>
    <cellStyle name="Separador de milhares 3 66 2 2" xfId="2532"/>
    <cellStyle name="Separador de milhares 3 66 3" xfId="2533"/>
    <cellStyle name="Separador de milhares 3 66 4" xfId="2534"/>
    <cellStyle name="Separador de milhares 3 67" xfId="2535"/>
    <cellStyle name="Separador de milhares 3 68" xfId="2536"/>
    <cellStyle name="Separador de milhares 3 69" xfId="2537"/>
    <cellStyle name="Separador de milhares 3 7" xfId="2538"/>
    <cellStyle name="Separador de milhares 3 7 2" xfId="2539"/>
    <cellStyle name="Separador de milhares 3 70" xfId="2540"/>
    <cellStyle name="Separador de milhares 3 8" xfId="2541"/>
    <cellStyle name="Separador de milhares 3 8 2" xfId="2542"/>
    <cellStyle name="Separador de milhares 3 9" xfId="2543"/>
    <cellStyle name="Separador de milhares 3 9 2" xfId="2544"/>
    <cellStyle name="Separador de milhares 30" xfId="2545"/>
    <cellStyle name="Separador de milhares 30 2" xfId="2546"/>
    <cellStyle name="Separador de milhares 30 2 2" xfId="2547"/>
    <cellStyle name="Separador de milhares 30 3" xfId="2548"/>
    <cellStyle name="Separador de milhares 30 3 2" xfId="2549"/>
    <cellStyle name="Separador de milhares 30 4" xfId="2550"/>
    <cellStyle name="Separador de milhares 30 4 2" xfId="2551"/>
    <cellStyle name="Separador de milhares 31" xfId="2552"/>
    <cellStyle name="Separador de milhares 32" xfId="2553"/>
    <cellStyle name="Separador de milhares 33" xfId="2554"/>
    <cellStyle name="Separador de milhares 34" xfId="2555"/>
    <cellStyle name="Separador de milhares 35" xfId="2556"/>
    <cellStyle name="Separador de milhares 36" xfId="2557"/>
    <cellStyle name="Separador de milhares 37" xfId="2558"/>
    <cellStyle name="Separador de milhares 38" xfId="2559"/>
    <cellStyle name="Separador de milhares 39" xfId="2560"/>
    <cellStyle name="Separador de milhares 4" xfId="2561"/>
    <cellStyle name="Separador de milhares 4 2" xfId="2562"/>
    <cellStyle name="Separador de milhares 4 2 2" xfId="2563"/>
    <cellStyle name="Separador de milhares 4 2 3" xfId="2564"/>
    <cellStyle name="Separador de milhares 4 2 4" xfId="2565"/>
    <cellStyle name="Separador de milhares 4 3" xfId="2566"/>
    <cellStyle name="Separador de milhares 4 3 2" xfId="2567"/>
    <cellStyle name="Separador de milhares 4 3 3" xfId="2568"/>
    <cellStyle name="Separador de milhares 4 3 4" xfId="2569"/>
    <cellStyle name="Separador de milhares 4 4" xfId="2570"/>
    <cellStyle name="Separador de milhares 4 4 2" xfId="2571"/>
    <cellStyle name="Separador de milhares 4 5" xfId="2572"/>
    <cellStyle name="Separador de milhares 4 6" xfId="2573"/>
    <cellStyle name="Separador de milhares 4 7" xfId="2574"/>
    <cellStyle name="Separador de milhares 4_Programação de Resultado - JB" xfId="2575"/>
    <cellStyle name="Separador de milhares 40" xfId="2576"/>
    <cellStyle name="Separador de milhares 41" xfId="2577"/>
    <cellStyle name="Separador de milhares 42" xfId="2578"/>
    <cellStyle name="Separador de milhares 43" xfId="2579"/>
    <cellStyle name="Separador de milhares 44" xfId="2580"/>
    <cellStyle name="Separador de milhares 45" xfId="2581"/>
    <cellStyle name="Separador de milhares 46" xfId="2582"/>
    <cellStyle name="Separador de milhares 47" xfId="2583"/>
    <cellStyle name="Separador de milhares 48" xfId="2584"/>
    <cellStyle name="Separador de milhares 49" xfId="2585"/>
    <cellStyle name="Separador de milhares 5" xfId="2586"/>
    <cellStyle name="Separador de milhares 5 2" xfId="2587"/>
    <cellStyle name="Separador de milhares 5 2 2" xfId="2588"/>
    <cellStyle name="Separador de milhares 5 2 2 2" xfId="2589"/>
    <cellStyle name="Separador de milhares 5 2 2 2 2" xfId="2590"/>
    <cellStyle name="Separador de milhares 5 2 2 3" xfId="2591"/>
    <cellStyle name="Separador de milhares 5 2 2 4" xfId="2592"/>
    <cellStyle name="Separador de milhares 5 2 2 5" xfId="2593"/>
    <cellStyle name="Separador de milhares 5 2 3" xfId="2594"/>
    <cellStyle name="Separador de milhares 5 2 3 2" xfId="2595"/>
    <cellStyle name="Separador de milhares 5 2 4" xfId="2596"/>
    <cellStyle name="Separador de milhares 5 2 4 2" xfId="2597"/>
    <cellStyle name="Separador de milhares 5 2 5" xfId="2598"/>
    <cellStyle name="Separador de milhares 5 2 5 2" xfId="2599"/>
    <cellStyle name="Separador de milhares 5 2 6" xfId="2600"/>
    <cellStyle name="Separador de milhares 5 2 7" xfId="2601"/>
    <cellStyle name="Separador de milhares 5 2 8" xfId="2602"/>
    <cellStyle name="Separador de milhares 5 3" xfId="2603"/>
    <cellStyle name="Separador de milhares 50" xfId="2604"/>
    <cellStyle name="Separador de milhares 50 2" xfId="2605"/>
    <cellStyle name="Separador de milhares 51" xfId="2606"/>
    <cellStyle name="Separador de milhares 52" xfId="2607"/>
    <cellStyle name="Separador de milhares 53" xfId="2608"/>
    <cellStyle name="Separador de milhares 54" xfId="2609"/>
    <cellStyle name="Separador de milhares 55" xfId="2610"/>
    <cellStyle name="Separador de milhares 56" xfId="2611"/>
    <cellStyle name="Separador de milhares 57" xfId="2612"/>
    <cellStyle name="Separador de milhares 58" xfId="2613"/>
    <cellStyle name="Separador de milhares 59" xfId="2614"/>
    <cellStyle name="Separador de milhares 6" xfId="2615"/>
    <cellStyle name="Separador de milhares 6 10" xfId="2616"/>
    <cellStyle name="Separador de milhares 6 10 2" xfId="2617"/>
    <cellStyle name="Separador de milhares 6 11" xfId="2618"/>
    <cellStyle name="Separador de milhares 6 11 2" xfId="2619"/>
    <cellStyle name="Separador de milhares 6 12" xfId="2620"/>
    <cellStyle name="Separador de milhares 6 12 2" xfId="2621"/>
    <cellStyle name="Separador de milhares 6 13" xfId="2622"/>
    <cellStyle name="Separador de milhares 6 13 2" xfId="2623"/>
    <cellStyle name="Separador de milhares 6 14" xfId="2624"/>
    <cellStyle name="Separador de milhares 6 14 2" xfId="2625"/>
    <cellStyle name="Separador de milhares 6 15" xfId="2626"/>
    <cellStyle name="Separador de milhares 6 15 2" xfId="2627"/>
    <cellStyle name="Separador de milhares 6 16" xfId="2628"/>
    <cellStyle name="Separador de milhares 6 16 2" xfId="2629"/>
    <cellStyle name="Separador de milhares 6 17" xfId="2630"/>
    <cellStyle name="Separador de milhares 6 17 2" xfId="2631"/>
    <cellStyle name="Separador de milhares 6 18" xfId="2632"/>
    <cellStyle name="Separador de milhares 6 18 2" xfId="2633"/>
    <cellStyle name="Separador de milhares 6 19" xfId="2634"/>
    <cellStyle name="Separador de milhares 6 19 2" xfId="2635"/>
    <cellStyle name="Separador de milhares 6 2" xfId="2636"/>
    <cellStyle name="Separador de milhares 6 2 2" xfId="2637"/>
    <cellStyle name="Separador de milhares 6 2 3" xfId="2638"/>
    <cellStyle name="Separador de milhares 6 2 4" xfId="2639"/>
    <cellStyle name="Separador de milhares 6 20" xfId="2640"/>
    <cellStyle name="Separador de milhares 6 21" xfId="2641"/>
    <cellStyle name="Separador de milhares 6 22" xfId="2642"/>
    <cellStyle name="Separador de milhares 6 3" xfId="2643"/>
    <cellStyle name="Separador de milhares 6 3 2" xfId="2644"/>
    <cellStyle name="Separador de milhares 6 4" xfId="2645"/>
    <cellStyle name="Separador de milhares 6 4 2" xfId="2646"/>
    <cellStyle name="Separador de milhares 6 5" xfId="2647"/>
    <cellStyle name="Separador de milhares 6 5 2" xfId="2648"/>
    <cellStyle name="Separador de milhares 6 6" xfId="2649"/>
    <cellStyle name="Separador de milhares 6 6 2" xfId="2650"/>
    <cellStyle name="Separador de milhares 6 7" xfId="2651"/>
    <cellStyle name="Separador de milhares 6 7 2" xfId="2652"/>
    <cellStyle name="Separador de milhares 6 8" xfId="2653"/>
    <cellStyle name="Separador de milhares 6 8 2" xfId="2654"/>
    <cellStyle name="Separador de milhares 6 9" xfId="2655"/>
    <cellStyle name="Separador de milhares 6 9 2" xfId="2656"/>
    <cellStyle name="Separador de milhares 60" xfId="2657"/>
    <cellStyle name="Separador de milhares 61" xfId="2658"/>
    <cellStyle name="Separador de milhares 62" xfId="2659"/>
    <cellStyle name="Separador de milhares 63" xfId="2660"/>
    <cellStyle name="Separador de milhares 64" xfId="2661"/>
    <cellStyle name="Separador de milhares 65" xfId="2662"/>
    <cellStyle name="Separador de milhares 66" xfId="2663"/>
    <cellStyle name="Separador de milhares 67" xfId="2664"/>
    <cellStyle name="Separador de milhares 68" xfId="2665"/>
    <cellStyle name="Separador de milhares 69" xfId="2666"/>
    <cellStyle name="Separador de milhares 7" xfId="2667"/>
    <cellStyle name="Separador de milhares 7 10" xfId="2668"/>
    <cellStyle name="Separador de milhares 7 10 2" xfId="2669"/>
    <cellStyle name="Separador de milhares 7 11" xfId="2670"/>
    <cellStyle name="Separador de milhares 7 11 2" xfId="2671"/>
    <cellStyle name="Separador de milhares 7 12" xfId="2672"/>
    <cellStyle name="Separador de milhares 7 12 2" xfId="2673"/>
    <cellStyle name="Separador de milhares 7 13" xfId="2674"/>
    <cellStyle name="Separador de milhares 7 13 2" xfId="2675"/>
    <cellStyle name="Separador de milhares 7 14" xfId="2676"/>
    <cellStyle name="Separador de milhares 7 14 2" xfId="2677"/>
    <cellStyle name="Separador de milhares 7 15" xfId="2678"/>
    <cellStyle name="Separador de milhares 7 15 2" xfId="2679"/>
    <cellStyle name="Separador de milhares 7 16" xfId="2680"/>
    <cellStyle name="Separador de milhares 7 16 2" xfId="2681"/>
    <cellStyle name="Separador de milhares 7 17" xfId="2682"/>
    <cellStyle name="Separador de milhares 7 17 2" xfId="2683"/>
    <cellStyle name="Separador de milhares 7 18" xfId="2684"/>
    <cellStyle name="Separador de milhares 7 18 2" xfId="2685"/>
    <cellStyle name="Separador de milhares 7 19" xfId="2686"/>
    <cellStyle name="Separador de milhares 7 19 2" xfId="2687"/>
    <cellStyle name="Separador de milhares 7 2" xfId="2688"/>
    <cellStyle name="Separador de milhares 7 2 2" xfId="2689"/>
    <cellStyle name="Separador de milhares 7 2 3" xfId="2690"/>
    <cellStyle name="Separador de milhares 7 2 4" xfId="2691"/>
    <cellStyle name="Separador de milhares 7 20" xfId="2692"/>
    <cellStyle name="Separador de milhares 7 20 2" xfId="2693"/>
    <cellStyle name="Separador de milhares 7 21" xfId="2694"/>
    <cellStyle name="Separador de milhares 7 21 2" xfId="2695"/>
    <cellStyle name="Separador de milhares 7 22" xfId="2696"/>
    <cellStyle name="Separador de milhares 7 22 2" xfId="2697"/>
    <cellStyle name="Separador de milhares 7 23" xfId="2698"/>
    <cellStyle name="Separador de milhares 7 23 2" xfId="2699"/>
    <cellStyle name="Separador de milhares 7 24" xfId="2700"/>
    <cellStyle name="Separador de milhares 7 24 2" xfId="2701"/>
    <cellStyle name="Separador de milhares 7 25" xfId="2702"/>
    <cellStyle name="Separador de milhares 7 25 2" xfId="2703"/>
    <cellStyle name="Separador de milhares 7 26" xfId="2704"/>
    <cellStyle name="Separador de milhares 7 26 2" xfId="2705"/>
    <cellStyle name="Separador de milhares 7 27" xfId="2706"/>
    <cellStyle name="Separador de milhares 7 27 2" xfId="2707"/>
    <cellStyle name="Separador de milhares 7 28" xfId="2708"/>
    <cellStyle name="Separador de milhares 7 28 2" xfId="2709"/>
    <cellStyle name="Separador de milhares 7 29" xfId="2710"/>
    <cellStyle name="Separador de milhares 7 29 2" xfId="2711"/>
    <cellStyle name="Separador de milhares 7 3" xfId="2712"/>
    <cellStyle name="Separador de milhares 7 3 2" xfId="2713"/>
    <cellStyle name="Separador de milhares 7 3 3" xfId="2714"/>
    <cellStyle name="Separador de milhares 7 30" xfId="2715"/>
    <cellStyle name="Separador de milhares 7 30 2" xfId="2716"/>
    <cellStyle name="Separador de milhares 7 31" xfId="2717"/>
    <cellStyle name="Separador de milhares 7 31 2" xfId="2718"/>
    <cellStyle name="Separador de milhares 7 32" xfId="2719"/>
    <cellStyle name="Separador de milhares 7 32 2" xfId="2720"/>
    <cellStyle name="Separador de milhares 7 33" xfId="2721"/>
    <cellStyle name="Separador de milhares 7 33 2" xfId="2722"/>
    <cellStyle name="Separador de milhares 7 34" xfId="2723"/>
    <cellStyle name="Separador de milhares 7 34 2" xfId="2724"/>
    <cellStyle name="Separador de milhares 7 35" xfId="2725"/>
    <cellStyle name="Separador de milhares 7 35 2" xfId="2726"/>
    <cellStyle name="Separador de milhares 7 36" xfId="2727"/>
    <cellStyle name="Separador de milhares 7 36 2" xfId="2728"/>
    <cellStyle name="Separador de milhares 7 37" xfId="2729"/>
    <cellStyle name="Separador de milhares 7 37 2" xfId="2730"/>
    <cellStyle name="Separador de milhares 7 38" xfId="2731"/>
    <cellStyle name="Separador de milhares 7 38 2" xfId="2732"/>
    <cellStyle name="Separador de milhares 7 39" xfId="2733"/>
    <cellStyle name="Separador de milhares 7 39 2" xfId="2734"/>
    <cellStyle name="Separador de milhares 7 4" xfId="2735"/>
    <cellStyle name="Separador de milhares 7 4 2" xfId="2736"/>
    <cellStyle name="Separador de milhares 7 40" xfId="2737"/>
    <cellStyle name="Separador de milhares 7 41" xfId="2738"/>
    <cellStyle name="Separador de milhares 7 42" xfId="2739"/>
    <cellStyle name="Separador de milhares 7 5" xfId="2740"/>
    <cellStyle name="Separador de milhares 7 5 2" xfId="2741"/>
    <cellStyle name="Separador de milhares 7 6" xfId="2742"/>
    <cellStyle name="Separador de milhares 7 6 2" xfId="2743"/>
    <cellStyle name="Separador de milhares 7 7" xfId="2744"/>
    <cellStyle name="Separador de milhares 7 7 2" xfId="2745"/>
    <cellStyle name="Separador de milhares 7 8" xfId="2746"/>
    <cellStyle name="Separador de milhares 7 8 2" xfId="2747"/>
    <cellStyle name="Separador de milhares 7 9" xfId="2748"/>
    <cellStyle name="Separador de milhares 7 9 2" xfId="2749"/>
    <cellStyle name="Separador de milhares 70" xfId="2750"/>
    <cellStyle name="Separador de milhares 71" xfId="2751"/>
    <cellStyle name="Separador de milhares 72" xfId="2752"/>
    <cellStyle name="Separador de milhares 73" xfId="2753"/>
    <cellStyle name="Separador de milhares 74" xfId="2754"/>
    <cellStyle name="Separador de milhares 75" xfId="2755"/>
    <cellStyle name="Separador de milhares 76" xfId="2756"/>
    <cellStyle name="Separador de milhares 77" xfId="2757"/>
    <cellStyle name="Separador de milhares 78" xfId="2758"/>
    <cellStyle name="Separador de milhares 79" xfId="2759"/>
    <cellStyle name="Separador de milhares 8" xfId="2760"/>
    <cellStyle name="Separador de milhares 8 2" xfId="2761"/>
    <cellStyle name="Separador de milhares 8 2 2" xfId="2762"/>
    <cellStyle name="Separador de milhares 8 2 3" xfId="2763"/>
    <cellStyle name="Separador de milhares 8 2 4" xfId="2764"/>
    <cellStyle name="Separador de milhares 8 3" xfId="2765"/>
    <cellStyle name="Separador de milhares 8 3 2" xfId="2766"/>
    <cellStyle name="Separador de milhares 8 4" xfId="2767"/>
    <cellStyle name="Separador de milhares 8 4 2" xfId="2768"/>
    <cellStyle name="Separador de milhares 8 5" xfId="2769"/>
    <cellStyle name="Separador de milhares 8 6" xfId="2770"/>
    <cellStyle name="Separador de milhares 8 7" xfId="2771"/>
    <cellStyle name="Separador de milhares 8 8" xfId="2772"/>
    <cellStyle name="Separador de milhares 80" xfId="2773"/>
    <cellStyle name="Separador de milhares 81" xfId="2774"/>
    <cellStyle name="Separador de milhares 82" xfId="2775"/>
    <cellStyle name="Separador de milhares 83" xfId="2776"/>
    <cellStyle name="Separador de milhares 84" xfId="2777"/>
    <cellStyle name="Separador de milhares 85" xfId="2778"/>
    <cellStyle name="Separador de milhares 86" xfId="2779"/>
    <cellStyle name="Separador de milhares 87" xfId="2780"/>
    <cellStyle name="Separador de milhares 88" xfId="2781"/>
    <cellStyle name="Separador de milhares 89" xfId="2782"/>
    <cellStyle name="Separador de milhares 9" xfId="2783"/>
    <cellStyle name="Separador de milhares 9 2" xfId="2784"/>
    <cellStyle name="Separador de milhares 90" xfId="2785"/>
    <cellStyle name="Separador de milhares 91" xfId="2786"/>
    <cellStyle name="Separador de milhares 92" xfId="2787"/>
    <cellStyle name="Separador de milhares 93" xfId="2788"/>
    <cellStyle name="Separador de milhares 94" xfId="2789"/>
    <cellStyle name="Separador de milhares 95" xfId="2790"/>
    <cellStyle name="Separador de milhares 96" xfId="2791"/>
    <cellStyle name="Separador de milhares 97" xfId="2792"/>
    <cellStyle name="Separador de milhares 98" xfId="2793"/>
    <cellStyle name="Separador de milhares 99" xfId="2794"/>
    <cellStyle name="Sheet Title" xfId="2795"/>
    <cellStyle name="SUB-TOT" xfId="2796"/>
    <cellStyle name="SUB-TOT 2" xfId="2797"/>
    <cellStyle name="sub-total" xfId="2798"/>
    <cellStyle name="sub-total 2" xfId="2799"/>
    <cellStyle name="Texto de Aviso 10" xfId="2800"/>
    <cellStyle name="Texto de Aviso 11" xfId="2801"/>
    <cellStyle name="Texto de Aviso 2" xfId="2802"/>
    <cellStyle name="Texto de Aviso 3" xfId="2803"/>
    <cellStyle name="Texto de Aviso 4" xfId="2804"/>
    <cellStyle name="Texto de Aviso 5" xfId="2805"/>
    <cellStyle name="Texto de Aviso 6" xfId="2806"/>
    <cellStyle name="Texto de Aviso 7" xfId="2807"/>
    <cellStyle name="Texto de Aviso 8" xfId="2808"/>
    <cellStyle name="Texto de Aviso 9" xfId="2809"/>
    <cellStyle name="Texto Explicativo 10" xfId="2810"/>
    <cellStyle name="Texto Explicativo 11" xfId="2811"/>
    <cellStyle name="Texto Explicativo 2" xfId="2812"/>
    <cellStyle name="Texto Explicativo 3" xfId="2813"/>
    <cellStyle name="Texto Explicativo 4" xfId="2814"/>
    <cellStyle name="Texto Explicativo 5" xfId="2815"/>
    <cellStyle name="Texto Explicativo 6" xfId="2816"/>
    <cellStyle name="Texto Explicativo 7" xfId="2817"/>
    <cellStyle name="Texto Explicativo 8" xfId="2818"/>
    <cellStyle name="Texto Explicativo 9" xfId="2819"/>
    <cellStyle name="Title" xfId="2820"/>
    <cellStyle name="Título 1 1" xfId="2821"/>
    <cellStyle name="Título 1 1 1" xfId="2822"/>
    <cellStyle name="Título 1 1 1 1" xfId="2823"/>
    <cellStyle name="Título 1 1_OrcamentMy" xfId="2824"/>
    <cellStyle name="Título 1 10" xfId="2825"/>
    <cellStyle name="Título 1 11" xfId="2826"/>
    <cellStyle name="Título 1 2" xfId="2827"/>
    <cellStyle name="Título 1 3" xfId="2828"/>
    <cellStyle name="Título 1 4" xfId="2829"/>
    <cellStyle name="Título 1 5" xfId="2830"/>
    <cellStyle name="Título 1 6" xfId="2831"/>
    <cellStyle name="Título 1 7" xfId="2832"/>
    <cellStyle name="Título 1 8" xfId="2833"/>
    <cellStyle name="Título 1 9" xfId="2834"/>
    <cellStyle name="Título 10" xfId="2835"/>
    <cellStyle name="Título 11" xfId="2836"/>
    <cellStyle name="Título 12" xfId="2837"/>
    <cellStyle name="Título 13" xfId="2838"/>
    <cellStyle name="Título 14" xfId="2839"/>
    <cellStyle name="Título 2 10" xfId="2840"/>
    <cellStyle name="Título 2 11" xfId="2841"/>
    <cellStyle name="Título 2 2" xfId="2842"/>
    <cellStyle name="Título 2 3" xfId="2843"/>
    <cellStyle name="Título 2 4" xfId="2844"/>
    <cellStyle name="Título 2 5" xfId="2845"/>
    <cellStyle name="Título 2 6" xfId="2846"/>
    <cellStyle name="Título 2 7" xfId="2847"/>
    <cellStyle name="Título 2 8" xfId="2848"/>
    <cellStyle name="Título 2 9" xfId="2849"/>
    <cellStyle name="Título 3 10" xfId="2850"/>
    <cellStyle name="Título 3 11" xfId="2851"/>
    <cellStyle name="Título 3 2" xfId="2852"/>
    <cellStyle name="Título 3 3" xfId="2853"/>
    <cellStyle name="Título 3 4" xfId="2854"/>
    <cellStyle name="Título 3 5" xfId="2855"/>
    <cellStyle name="Título 3 6" xfId="2856"/>
    <cellStyle name="Título 3 7" xfId="2857"/>
    <cellStyle name="Título 3 8" xfId="2858"/>
    <cellStyle name="Título 3 9" xfId="2859"/>
    <cellStyle name="Título 4 10" xfId="2860"/>
    <cellStyle name="Título 4 11" xfId="2861"/>
    <cellStyle name="Título 4 2" xfId="2862"/>
    <cellStyle name="Título 4 3" xfId="2863"/>
    <cellStyle name="Título 4 4" xfId="2864"/>
    <cellStyle name="Título 4 5" xfId="2865"/>
    <cellStyle name="Título 4 6" xfId="2866"/>
    <cellStyle name="Título 4 7" xfId="2867"/>
    <cellStyle name="Título 4 8" xfId="2868"/>
    <cellStyle name="Título 4 9" xfId="2869"/>
    <cellStyle name="Título 5" xfId="2870"/>
    <cellStyle name="Título 6" xfId="2871"/>
    <cellStyle name="Título 7" xfId="2872"/>
    <cellStyle name="Título 8" xfId="2873"/>
    <cellStyle name="Título 9" xfId="2874"/>
    <cellStyle name="Titulo1" xfId="2875"/>
    <cellStyle name="Titulo2" xfId="2876"/>
    <cellStyle name="Total 10" xfId="2877"/>
    <cellStyle name="Total 10 2" xfId="3309"/>
    <cellStyle name="Total 10 2 2" xfId="3310"/>
    <cellStyle name="Total 10 2 2 2" xfId="3368"/>
    <cellStyle name="Total 10 2 3" xfId="3369"/>
    <cellStyle name="Total 10 3" xfId="3311"/>
    <cellStyle name="Total 10 3 2" xfId="3367"/>
    <cellStyle name="Total 11" xfId="2878"/>
    <cellStyle name="Total 11 2" xfId="3312"/>
    <cellStyle name="Total 11 2 2" xfId="3313"/>
    <cellStyle name="Total 11 2 2 2" xfId="3365"/>
    <cellStyle name="Total 11 2 3" xfId="3366"/>
    <cellStyle name="Total 11 3" xfId="3314"/>
    <cellStyle name="Total 11 3 2" xfId="3364"/>
    <cellStyle name="Total 2" xfId="2879"/>
    <cellStyle name="Total 3" xfId="2880"/>
    <cellStyle name="Total 3 2" xfId="3315"/>
    <cellStyle name="Total 3 2 2" xfId="3316"/>
    <cellStyle name="Total 3 2 2 2" xfId="3362"/>
    <cellStyle name="Total 3 2 3" xfId="3363"/>
    <cellStyle name="Total 3 3" xfId="3317"/>
    <cellStyle name="Total 3 3 2" xfId="3361"/>
    <cellStyle name="Total 4" xfId="2881"/>
    <cellStyle name="Total 4 2" xfId="3318"/>
    <cellStyle name="Total 4 2 2" xfId="3319"/>
    <cellStyle name="Total 4 2 2 2" xfId="3359"/>
    <cellStyle name="Total 4 2 3" xfId="3360"/>
    <cellStyle name="Total 4 3" xfId="3320"/>
    <cellStyle name="Total 4 3 2" xfId="3358"/>
    <cellStyle name="Total 5" xfId="2882"/>
    <cellStyle name="Total 5 2" xfId="3321"/>
    <cellStyle name="Total 5 2 2" xfId="3322"/>
    <cellStyle name="Total 5 2 2 2" xfId="3356"/>
    <cellStyle name="Total 5 2 3" xfId="3357"/>
    <cellStyle name="Total 5 3" xfId="3323"/>
    <cellStyle name="Total 5 3 2" xfId="3355"/>
    <cellStyle name="Total 6" xfId="2883"/>
    <cellStyle name="Total 6 2" xfId="3324"/>
    <cellStyle name="Total 6 2 2" xfId="3325"/>
    <cellStyle name="Total 6 2 2 2" xfId="3353"/>
    <cellStyle name="Total 6 2 3" xfId="3354"/>
    <cellStyle name="Total 6 3" xfId="3326"/>
    <cellStyle name="Total 6 3 2" xfId="3352"/>
    <cellStyle name="Total 7" xfId="2884"/>
    <cellStyle name="Total 7 2" xfId="3327"/>
    <cellStyle name="Total 7 2 2" xfId="3328"/>
    <cellStyle name="Total 7 2 2 2" xfId="3350"/>
    <cellStyle name="Total 7 2 3" xfId="3351"/>
    <cellStyle name="Total 7 3" xfId="3329"/>
    <cellStyle name="Total 7 3 2" xfId="3349"/>
    <cellStyle name="Total 8" xfId="2885"/>
    <cellStyle name="Total 8 2" xfId="3330"/>
    <cellStyle name="Total 8 2 2" xfId="3331"/>
    <cellStyle name="Total 8 2 2 2" xfId="3347"/>
    <cellStyle name="Total 8 2 3" xfId="3348"/>
    <cellStyle name="Total 8 3" xfId="3332"/>
    <cellStyle name="Total 8 3 2" xfId="3346"/>
    <cellStyle name="Total 9" xfId="2886"/>
    <cellStyle name="Total 9 2" xfId="3333"/>
    <cellStyle name="Total 9 2 2" xfId="3334"/>
    <cellStyle name="Total 9 2 2 2" xfId="3344"/>
    <cellStyle name="Total 9 2 3" xfId="3345"/>
    <cellStyle name="Total 9 3" xfId="3335"/>
    <cellStyle name="Total 9 3 2" xfId="3343"/>
    <cellStyle name="Vírgula" xfId="1" builtinId="3"/>
    <cellStyle name="Vírgula 10" xfId="2888"/>
    <cellStyle name="Vírgula 10 2" xfId="2889"/>
    <cellStyle name="Vírgula 10 2 2" xfId="2890"/>
    <cellStyle name="Vírgula 10 2 2 2" xfId="2891"/>
    <cellStyle name="Vírgula 10 2 2 3" xfId="2892"/>
    <cellStyle name="Vírgula 10 2 2 4" xfId="2893"/>
    <cellStyle name="Vírgula 10 2 3" xfId="2894"/>
    <cellStyle name="Vírgula 10 2 4" xfId="2895"/>
    <cellStyle name="Vírgula 10 2 5" xfId="2896"/>
    <cellStyle name="Vírgula 10 3" xfId="2897"/>
    <cellStyle name="Vírgula 10 4" xfId="2898"/>
    <cellStyle name="Vírgula 10 5" xfId="2899"/>
    <cellStyle name="Vírgula 11" xfId="2900"/>
    <cellStyle name="Vírgula 11 2" xfId="2901"/>
    <cellStyle name="Vírgula 11 3" xfId="2902"/>
    <cellStyle name="Vírgula 11 4" xfId="2903"/>
    <cellStyle name="Vírgula 12" xfId="2904"/>
    <cellStyle name="Vírgula 12 2" xfId="2905"/>
    <cellStyle name="Vírgula 12 3" xfId="2906"/>
    <cellStyle name="Vírgula 12 4" xfId="2907"/>
    <cellStyle name="Vírgula 13" xfId="2908"/>
    <cellStyle name="Vírgula 14" xfId="2909"/>
    <cellStyle name="Vírgula 14 2" xfId="2910"/>
    <cellStyle name="Vírgula 14 3" xfId="2911"/>
    <cellStyle name="Vírgula 14 4" xfId="2912"/>
    <cellStyle name="Vírgula 15" xfId="2913"/>
    <cellStyle name="Vírgula 15 2" xfId="2914"/>
    <cellStyle name="Vírgula 16" xfId="2915"/>
    <cellStyle name="Vírgula 16 2" xfId="2916"/>
    <cellStyle name="Vírgula 16 3" xfId="2917"/>
    <cellStyle name="Vírgula 16 4" xfId="2918"/>
    <cellStyle name="Vírgula 17" xfId="2919"/>
    <cellStyle name="Vírgula 17 2" xfId="2920"/>
    <cellStyle name="Vírgula 17 3" xfId="2921"/>
    <cellStyle name="Vírgula 17 4" xfId="2922"/>
    <cellStyle name="Vírgula 18" xfId="2923"/>
    <cellStyle name="Vírgula 19" xfId="2887"/>
    <cellStyle name="Vírgula 2" xfId="2924"/>
    <cellStyle name="Vírgula 2 2" xfId="2925"/>
    <cellStyle name="Vírgula 2 2 10" xfId="2926"/>
    <cellStyle name="Vírgula 2 2 10 2" xfId="2927"/>
    <cellStyle name="Vírgula 2 2 11" xfId="2928"/>
    <cellStyle name="Vírgula 2 2 12" xfId="2929"/>
    <cellStyle name="Vírgula 2 2 12 2" xfId="2930"/>
    <cellStyle name="Vírgula 2 2 12 2 2" xfId="2931"/>
    <cellStyle name="Vírgula 2 2 12 2 3" xfId="2932"/>
    <cellStyle name="Vírgula 2 2 12 2 4" xfId="2933"/>
    <cellStyle name="Vírgula 2 2 13" xfId="2934"/>
    <cellStyle name="Vírgula 2 2 13 2" xfId="2935"/>
    <cellStyle name="Vírgula 2 2 14" xfId="2936"/>
    <cellStyle name="Vírgula 2 2 15" xfId="2937"/>
    <cellStyle name="Vírgula 2 2 16" xfId="2938"/>
    <cellStyle name="Vírgula 2 2 17" xfId="2939"/>
    <cellStyle name="Vírgula 2 2 18" xfId="2940"/>
    <cellStyle name="Vírgula 2 2 19" xfId="2941"/>
    <cellStyle name="Vírgula 2 2 2" xfId="2942"/>
    <cellStyle name="Vírgula 2 2 2 10" xfId="2943"/>
    <cellStyle name="Vírgula 2 2 2 11" xfId="2944"/>
    <cellStyle name="Vírgula 2 2 2 12" xfId="2945"/>
    <cellStyle name="Vírgula 2 2 2 13" xfId="2946"/>
    <cellStyle name="Vírgula 2 2 2 14" xfId="2947"/>
    <cellStyle name="Vírgula 2 2 2 15" xfId="2948"/>
    <cellStyle name="Vírgula 2 2 2 16" xfId="2949"/>
    <cellStyle name="Vírgula 2 2 2 17" xfId="2950"/>
    <cellStyle name="Vírgula 2 2 2 18" xfId="2951"/>
    <cellStyle name="Vírgula 2 2 2 19" xfId="2952"/>
    <cellStyle name="Vírgula 2 2 2 2" xfId="2953"/>
    <cellStyle name="Vírgula 2 2 2 2 10" xfId="2954"/>
    <cellStyle name="Vírgula 2 2 2 2 11" xfId="2955"/>
    <cellStyle name="Vírgula 2 2 2 2 12" xfId="2956"/>
    <cellStyle name="Vírgula 2 2 2 2 13" xfId="2957"/>
    <cellStyle name="Vírgula 2 2 2 2 14" xfId="2958"/>
    <cellStyle name="Vírgula 2 2 2 2 15" xfId="2959"/>
    <cellStyle name="Vírgula 2 2 2 2 16" xfId="2960"/>
    <cellStyle name="Vírgula 2 2 2 2 17" xfId="2961"/>
    <cellStyle name="Vírgula 2 2 2 2 17 2" xfId="2962"/>
    <cellStyle name="Vírgula 2 2 2 2 18" xfId="2963"/>
    <cellStyle name="Vírgula 2 2 2 2 18 2" xfId="2964"/>
    <cellStyle name="Vírgula 2 2 2 2 19" xfId="2965"/>
    <cellStyle name="Vírgula 2 2 2 2 19 2" xfId="2966"/>
    <cellStyle name="Vírgula 2 2 2 2 2" xfId="2967"/>
    <cellStyle name="Vírgula 2 2 2 2 2 2" xfId="2968"/>
    <cellStyle name="Vírgula 2 2 2 2 2 3" xfId="2969"/>
    <cellStyle name="Vírgula 2 2 2 2 2 4" xfId="2970"/>
    <cellStyle name="Vírgula 2 2 2 2 2 5" xfId="2971"/>
    <cellStyle name="Vírgula 2 2 2 2 2 6" xfId="2972"/>
    <cellStyle name="Vírgula 2 2 2 2 2 7" xfId="2973"/>
    <cellStyle name="Vírgula 2 2 2 2 20" xfId="2974"/>
    <cellStyle name="Vírgula 2 2 2 2 20 2" xfId="2975"/>
    <cellStyle name="Vírgula 2 2 2 2 3" xfId="2976"/>
    <cellStyle name="Vírgula 2 2 2 2 4" xfId="2977"/>
    <cellStyle name="Vírgula 2 2 2 2 5" xfId="2978"/>
    <cellStyle name="Vírgula 2 2 2 2 6" xfId="2979"/>
    <cellStyle name="Vírgula 2 2 2 2 7" xfId="2980"/>
    <cellStyle name="Vírgula 2 2 2 2 8" xfId="2981"/>
    <cellStyle name="Vírgula 2 2 2 2 9" xfId="2982"/>
    <cellStyle name="Vírgula 2 2 2 20" xfId="2983"/>
    <cellStyle name="Vírgula 2 2 2 21" xfId="2984"/>
    <cellStyle name="Vírgula 2 2 2 22" xfId="2985"/>
    <cellStyle name="Vírgula 2 2 2 23" xfId="2986"/>
    <cellStyle name="Vírgula 2 2 2 24" xfId="2987"/>
    <cellStyle name="Vírgula 2 2 2 24 2" xfId="2988"/>
    <cellStyle name="Vírgula 2 2 2 24 3" xfId="2989"/>
    <cellStyle name="Vírgula 2 2 2 24 4" xfId="2990"/>
    <cellStyle name="Vírgula 2 2 2 24 5" xfId="2991"/>
    <cellStyle name="Vírgula 2 2 2 24 6" xfId="2992"/>
    <cellStyle name="Vírgula 2 2 2 25" xfId="2993"/>
    <cellStyle name="Vírgula 2 2 2 26" xfId="2994"/>
    <cellStyle name="Vírgula 2 2 2 27" xfId="2995"/>
    <cellStyle name="Vírgula 2 2 2 27 2" xfId="2996"/>
    <cellStyle name="Vírgula 2 2 2 28" xfId="2997"/>
    <cellStyle name="Vírgula 2 2 2 28 2" xfId="2998"/>
    <cellStyle name="Vírgula 2 2 2 29" xfId="2999"/>
    <cellStyle name="Vírgula 2 2 2 29 2" xfId="3000"/>
    <cellStyle name="Vírgula 2 2 2 3" xfId="3001"/>
    <cellStyle name="Vírgula 2 2 2 30" xfId="3002"/>
    <cellStyle name="Vírgula 2 2 2 30 2" xfId="3003"/>
    <cellStyle name="Vírgula 2 2 2 31" xfId="3004"/>
    <cellStyle name="Vírgula 2 2 2 31 2" xfId="3005"/>
    <cellStyle name="Vírgula 2 2 2 32" xfId="3006"/>
    <cellStyle name="Vírgula 2 2 2 32 2" xfId="3007"/>
    <cellStyle name="Vírgula 2 2 2 33" xfId="3008"/>
    <cellStyle name="Vírgula 2 2 2 33 2" xfId="3009"/>
    <cellStyle name="Vírgula 2 2 2 34" xfId="3010"/>
    <cellStyle name="Vírgula 2 2 2 34 2" xfId="3011"/>
    <cellStyle name="Vírgula 2 2 2 35" xfId="3012"/>
    <cellStyle name="Vírgula 2 2 2 35 2" xfId="3013"/>
    <cellStyle name="Vírgula 2 2 2 36" xfId="3014"/>
    <cellStyle name="Vírgula 2 2 2 36 2" xfId="3015"/>
    <cellStyle name="Vírgula 2 2 2 37" xfId="3016"/>
    <cellStyle name="Vírgula 2 2 2 37 2" xfId="3017"/>
    <cellStyle name="Vírgula 2 2 2 38" xfId="3018"/>
    <cellStyle name="Vírgula 2 2 2 38 2" xfId="3019"/>
    <cellStyle name="Vírgula 2 2 2 39" xfId="3020"/>
    <cellStyle name="Vírgula 2 2 2 39 2" xfId="3021"/>
    <cellStyle name="Vírgula 2 2 2 4" xfId="3022"/>
    <cellStyle name="Vírgula 2 2 2 40" xfId="3023"/>
    <cellStyle name="Vírgula 2 2 2 40 2" xfId="3024"/>
    <cellStyle name="Vírgula 2 2 2 41" xfId="3025"/>
    <cellStyle name="Vírgula 2 2 2 42" xfId="3026"/>
    <cellStyle name="Vírgula 2 2 2 43" xfId="3027"/>
    <cellStyle name="Vírgula 2 2 2 44" xfId="3028"/>
    <cellStyle name="Vírgula 2 2 2 45" xfId="3029"/>
    <cellStyle name="Vírgula 2 2 2 45 2" xfId="3030"/>
    <cellStyle name="Vírgula 2 2 2 46" xfId="3031"/>
    <cellStyle name="Vírgula 2 2 2 5" xfId="3032"/>
    <cellStyle name="Vírgula 2 2 2 6" xfId="3033"/>
    <cellStyle name="Vírgula 2 2 2 7" xfId="3034"/>
    <cellStyle name="Vírgula 2 2 2 8" xfId="3035"/>
    <cellStyle name="Vírgula 2 2 2 9" xfId="3036"/>
    <cellStyle name="Vírgula 2 2 20" xfId="3037"/>
    <cellStyle name="Vírgula 2 2 21" xfId="3038"/>
    <cellStyle name="Vírgula 2 2 22" xfId="3039"/>
    <cellStyle name="Vírgula 2 2 23" xfId="3040"/>
    <cellStyle name="Vírgula 2 2 24" xfId="3041"/>
    <cellStyle name="Vírgula 2 2 25" xfId="3042"/>
    <cellStyle name="Vírgula 2 2 26" xfId="3043"/>
    <cellStyle name="Vírgula 2 2 27" xfId="3044"/>
    <cellStyle name="Vírgula 2 2 28" xfId="3045"/>
    <cellStyle name="Vírgula 2 2 3" xfId="3046"/>
    <cellStyle name="Vírgula 2 2 4" xfId="3047"/>
    <cellStyle name="Vírgula 2 2 5" xfId="3048"/>
    <cellStyle name="Vírgula 2 2 6" xfId="3049"/>
    <cellStyle name="Vírgula 2 2 7" xfId="3050"/>
    <cellStyle name="Vírgula 2 2 8" xfId="3051"/>
    <cellStyle name="Vírgula 2 2 9" xfId="3052"/>
    <cellStyle name="Vírgula 2 3" xfId="3053"/>
    <cellStyle name="Vírgula 2 3 2" xfId="3054"/>
    <cellStyle name="Vírgula 2 3 2 2" xfId="3055"/>
    <cellStyle name="Vírgula 2 3 2 3" xfId="3056"/>
    <cellStyle name="Vírgula 2 3 2 4" xfId="3057"/>
    <cellStyle name="Vírgula 2 3 3" xfId="3058"/>
    <cellStyle name="Vírgula 2 3 4" xfId="3059"/>
    <cellStyle name="Vírgula 2 3 5" xfId="3060"/>
    <cellStyle name="Vírgula 2 4" xfId="3061"/>
    <cellStyle name="Vírgula 2 4 2" xfId="3062"/>
    <cellStyle name="Vírgula 2 4 3" xfId="3063"/>
    <cellStyle name="Vírgula 2 4 4" xfId="3064"/>
    <cellStyle name="Vírgula 2 5" xfId="3336"/>
    <cellStyle name="Vírgula 2 6" xfId="3342"/>
    <cellStyle name="Vírgula 20" xfId="3212"/>
    <cellStyle name="Vírgula 3" xfId="3065"/>
    <cellStyle name="Vírgula 3 2" xfId="3066"/>
    <cellStyle name="Vírgula 3 2 2" xfId="3067"/>
    <cellStyle name="Vírgula 3 2 2 2" xfId="3068"/>
    <cellStyle name="Vírgula 3 2 2 2 2" xfId="3069"/>
    <cellStyle name="Vírgula 3 2 2 2 3" xfId="3070"/>
    <cellStyle name="Vírgula 3 2 2 2 4" xfId="3071"/>
    <cellStyle name="Vírgula 3 2 2 3" xfId="3072"/>
    <cellStyle name="Vírgula 3 2 2 4" xfId="3073"/>
    <cellStyle name="Vírgula 3 2 2 5" xfId="3074"/>
    <cellStyle name="Vírgula 3 2 3" xfId="3075"/>
    <cellStyle name="Vírgula 3 2 4" xfId="3076"/>
    <cellStyle name="Vírgula 3 2 5" xfId="3077"/>
    <cellStyle name="Vírgula 3 3" xfId="3078"/>
    <cellStyle name="Vírgula 3 3 2" xfId="3079"/>
    <cellStyle name="Vírgula 3 3 3" xfId="3080"/>
    <cellStyle name="Vírgula 3 3 4" xfId="3081"/>
    <cellStyle name="Vírgula 4" xfId="3082"/>
    <cellStyle name="Vírgula 4 2" xfId="3083"/>
    <cellStyle name="Vírgula 4 2 2" xfId="3084"/>
    <cellStyle name="Vírgula 4 2 3" xfId="3085"/>
    <cellStyle name="Vírgula 4 2 4" xfId="3086"/>
    <cellStyle name="Vírgula 4 3" xfId="3087"/>
    <cellStyle name="Vírgula 4 3 10" xfId="3088"/>
    <cellStyle name="Vírgula 4 3 2" xfId="3089"/>
    <cellStyle name="Vírgula 4 3 2 2" xfId="3090"/>
    <cellStyle name="Vírgula 4 3 2 2 2" xfId="3091"/>
    <cellStyle name="Vírgula 4 3 2 2 3" xfId="3092"/>
    <cellStyle name="Vírgula 4 3 2 2 4" xfId="3093"/>
    <cellStyle name="Vírgula 4 3 2 3" xfId="3094"/>
    <cellStyle name="Vírgula 4 3 2 3 2" xfId="3095"/>
    <cellStyle name="Vírgula 4 3 2 3 3" xfId="3096"/>
    <cellStyle name="Vírgula 4 3 2 3 4" xfId="3097"/>
    <cellStyle name="Vírgula 4 3 2 4" xfId="3098"/>
    <cellStyle name="Vírgula 4 3 2 4 2" xfId="3099"/>
    <cellStyle name="Vírgula 4 3 2 4 3" xfId="3100"/>
    <cellStyle name="Vírgula 4 3 2 4 4" xfId="3101"/>
    <cellStyle name="Vírgula 4 3 2 5" xfId="3102"/>
    <cellStyle name="Vírgula 4 3 2 6" xfId="3103"/>
    <cellStyle name="Vírgula 4 3 2 7" xfId="3104"/>
    <cellStyle name="Vírgula 4 3 3" xfId="3105"/>
    <cellStyle name="Vírgula 4 3 3 2" xfId="3106"/>
    <cellStyle name="Vírgula 4 3 3 2 2" xfId="3107"/>
    <cellStyle name="Vírgula 4 3 3 2 3" xfId="3108"/>
    <cellStyle name="Vírgula 4 3 3 2 4" xfId="3109"/>
    <cellStyle name="Vírgula 4 3 3 3" xfId="3110"/>
    <cellStyle name="Vírgula 4 3 3 4" xfId="3111"/>
    <cellStyle name="Vírgula 4 3 3 5" xfId="3112"/>
    <cellStyle name="Vírgula 4 3 4" xfId="3113"/>
    <cellStyle name="Vírgula 4 3 4 2" xfId="3114"/>
    <cellStyle name="Vírgula 4 3 4 3" xfId="3115"/>
    <cellStyle name="Vírgula 4 3 4 4" xfId="3116"/>
    <cellStyle name="Vírgula 4 3 5" xfId="3117"/>
    <cellStyle name="Vírgula 4 3 5 2" xfId="3118"/>
    <cellStyle name="Vírgula 4 3 5 3" xfId="3119"/>
    <cellStyle name="Vírgula 4 3 5 4" xfId="3120"/>
    <cellStyle name="Vírgula 4 3 6" xfId="3121"/>
    <cellStyle name="Vírgula 4 3 6 2" xfId="3122"/>
    <cellStyle name="Vírgula 4 3 6 3" xfId="3123"/>
    <cellStyle name="Vírgula 4 3 6 4" xfId="3124"/>
    <cellStyle name="Vírgula 4 3 7" xfId="3125"/>
    <cellStyle name="Vírgula 4 3 7 2" xfId="3126"/>
    <cellStyle name="Vírgula 4 3 7 3" xfId="3127"/>
    <cellStyle name="Vírgula 4 3 7 4" xfId="3128"/>
    <cellStyle name="Vírgula 4 3 8" xfId="3129"/>
    <cellStyle name="Vírgula 4 3 9" xfId="3130"/>
    <cellStyle name="Vírgula 4 4" xfId="3131"/>
    <cellStyle name="Vírgula 4 4 2" xfId="3132"/>
    <cellStyle name="Vírgula 5" xfId="3133"/>
    <cellStyle name="Vírgula 5 2" xfId="3134"/>
    <cellStyle name="Vírgula 5 2 2" xfId="3135"/>
    <cellStyle name="Vírgula 5 2 2 2" xfId="3136"/>
    <cellStyle name="Vírgula 5 2 2 3" xfId="3137"/>
    <cellStyle name="Vírgula 5 2 2 4" xfId="3138"/>
    <cellStyle name="Vírgula 5 2 3" xfId="3139"/>
    <cellStyle name="Vírgula 5 2 4" xfId="3140"/>
    <cellStyle name="Vírgula 5 2 5" xfId="3141"/>
    <cellStyle name="Vírgula 5 3" xfId="3142"/>
    <cellStyle name="Vírgula 5 3 2" xfId="3143"/>
    <cellStyle name="Vírgula 5 3 2 2" xfId="3144"/>
    <cellStyle name="Vírgula 5 3 2 2 2" xfId="3145"/>
    <cellStyle name="Vírgula 5 3 2 2 3" xfId="3146"/>
    <cellStyle name="Vírgula 5 3 2 2 4" xfId="3147"/>
    <cellStyle name="Vírgula 5 3 2 3" xfId="3148"/>
    <cellStyle name="Vírgula 5 3 2 3 2" xfId="3149"/>
    <cellStyle name="Vírgula 5 3 2 3 3" xfId="3150"/>
    <cellStyle name="Vírgula 5 3 2 3 4" xfId="3151"/>
    <cellStyle name="Vírgula 5 3 2 4" xfId="3152"/>
    <cellStyle name="Vírgula 5 3 2 5" xfId="3153"/>
    <cellStyle name="Vírgula 5 3 2 6" xfId="3154"/>
    <cellStyle name="Vírgula 5 3 3" xfId="3155"/>
    <cellStyle name="Vírgula 5 3 4" xfId="3156"/>
    <cellStyle name="Vírgula 5 3 5" xfId="3157"/>
    <cellStyle name="Vírgula 5 4" xfId="3158"/>
    <cellStyle name="Vírgula 5 5" xfId="3159"/>
    <cellStyle name="Vírgula 5 6" xfId="3160"/>
    <cellStyle name="Vírgula 6" xfId="3161"/>
    <cellStyle name="Vírgula 6 2" xfId="3162"/>
    <cellStyle name="Vírgula 6 2 2" xfId="3163"/>
    <cellStyle name="Vírgula 6 3" xfId="3164"/>
    <cellStyle name="Vírgula 6 3 2" xfId="3165"/>
    <cellStyle name="Vírgula 6 4" xfId="3166"/>
    <cellStyle name="Vírgula 6 5" xfId="3167"/>
    <cellStyle name="Vírgula 6 6" xfId="3168"/>
    <cellStyle name="Vírgula 7" xfId="3169"/>
    <cellStyle name="Vírgula 7 2" xfId="3170"/>
    <cellStyle name="Vírgula 7 2 2" xfId="3171"/>
    <cellStyle name="Vírgula 7 2 3" xfId="3172"/>
    <cellStyle name="Vírgula 7 2 4" xfId="3173"/>
    <cellStyle name="Vírgula 7 3" xfId="3174"/>
    <cellStyle name="Vírgula 7 4" xfId="3175"/>
    <cellStyle name="Vírgula 7 5" xfId="3176"/>
    <cellStyle name="Vírgula 8" xfId="3177"/>
    <cellStyle name="Vírgula 8 2" xfId="3178"/>
    <cellStyle name="Vírgula 8 3" xfId="3179"/>
    <cellStyle name="Vírgula 9" xfId="3180"/>
    <cellStyle name="Vírgula 9 2" xfId="3181"/>
    <cellStyle name="Vírgula 9 2 2" xfId="3182"/>
    <cellStyle name="Vírgula 9 2 3" xfId="3183"/>
    <cellStyle name="Vírgula 9 2 4" xfId="3184"/>
    <cellStyle name="Vírgula 9 3" xfId="3185"/>
    <cellStyle name="Vírgula 9 3 2" xfId="3186"/>
    <cellStyle name="Vírgula 9 3 3" xfId="3187"/>
    <cellStyle name="Vírgula 9 3 4" xfId="3188"/>
    <cellStyle name="Vírgula 9 4" xfId="3189"/>
    <cellStyle name="Vírgula 9 4 2" xfId="3190"/>
    <cellStyle name="Vírgula 9 4 2 2" xfId="3191"/>
    <cellStyle name="Vírgula 9 4 2 3" xfId="3192"/>
    <cellStyle name="Vírgula 9 4 2 4" xfId="3193"/>
    <cellStyle name="Vírgula 9 4 3" xfId="3194"/>
    <cellStyle name="Vírgula 9 4 3 2" xfId="3195"/>
    <cellStyle name="Vírgula 9 4 3 3" xfId="3196"/>
    <cellStyle name="Vírgula 9 4 3 4" xfId="3197"/>
    <cellStyle name="Vírgula 9 4 4" xfId="3198"/>
    <cellStyle name="Vírgula 9 4 5" xfId="3199"/>
    <cellStyle name="Vírgula 9 4 6" xfId="3200"/>
    <cellStyle name="Vírgula 9 5" xfId="3201"/>
    <cellStyle name="Vírgula 9 6" xfId="3202"/>
    <cellStyle name="Vírgula 9 7" xfId="3203"/>
    <cellStyle name="Vírgula0" xfId="3204"/>
    <cellStyle name="Warning Text" xfId="3205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9</xdr:col>
      <xdr:colOff>495300</xdr:colOff>
      <xdr:row>4</xdr:row>
      <xdr:rowOff>4262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266700"/>
          <a:ext cx="5857875" cy="49956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0</xdr:rowOff>
    </xdr:from>
    <xdr:to>
      <xdr:col>5</xdr:col>
      <xdr:colOff>19887</xdr:colOff>
      <xdr:row>46</xdr:row>
      <xdr:rowOff>107247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08077"/>
          <a:ext cx="5170714" cy="3155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42334</xdr:colOff>
      <xdr:row>0</xdr:row>
      <xdr:rowOff>40217</xdr:rowOff>
    </xdr:from>
    <xdr:to>
      <xdr:col>1</xdr:col>
      <xdr:colOff>692151</xdr:colOff>
      <xdr:row>2</xdr:row>
      <xdr:rowOff>34695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4" y="40217"/>
          <a:ext cx="1295400" cy="375478"/>
        </a:xfrm>
        <a:prstGeom prst="rect">
          <a:avLst/>
        </a:prstGeom>
      </xdr:spPr>
    </xdr:pic>
    <xdr:clientData/>
  </xdr:twoCellAnchor>
  <xdr:twoCellAnchor editAs="oneCell">
    <xdr:from>
      <xdr:col>0</xdr:col>
      <xdr:colOff>62442</xdr:colOff>
      <xdr:row>30</xdr:row>
      <xdr:rowOff>118533</xdr:rowOff>
    </xdr:from>
    <xdr:to>
      <xdr:col>1</xdr:col>
      <xdr:colOff>712259</xdr:colOff>
      <xdr:row>32</xdr:row>
      <xdr:rowOff>113011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" y="10996083"/>
          <a:ext cx="1297517" cy="3754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804334</xdr:colOff>
      <xdr:row>0</xdr:row>
      <xdr:rowOff>19050</xdr:rowOff>
    </xdr:from>
    <xdr:ext cx="1291166" cy="375478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5167" y="19050"/>
          <a:ext cx="1295400" cy="37547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17689</xdr:colOff>
      <xdr:row>0</xdr:row>
      <xdr:rowOff>44563</xdr:rowOff>
    </xdr:from>
    <xdr:to>
      <xdr:col>8</xdr:col>
      <xdr:colOff>1677080</xdr:colOff>
      <xdr:row>3</xdr:row>
      <xdr:rowOff>122124</xdr:rowOff>
    </xdr:to>
    <xdr:pic>
      <xdr:nvPicPr>
        <xdr:cNvPr id="2" name="Imagem 8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8989" y="44563"/>
          <a:ext cx="725941" cy="6490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504825</xdr:colOff>
      <xdr:row>0</xdr:row>
      <xdr:rowOff>38100</xdr:rowOff>
    </xdr:from>
    <xdr:to>
      <xdr:col>12</xdr:col>
      <xdr:colOff>428625</xdr:colOff>
      <xdr:row>2</xdr:row>
      <xdr:rowOff>32578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0" y="38100"/>
          <a:ext cx="1295400" cy="37547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114300</xdr:rowOff>
    </xdr:from>
    <xdr:to>
      <xdr:col>8</xdr:col>
      <xdr:colOff>803385</xdr:colOff>
      <xdr:row>3</xdr:row>
      <xdr:rowOff>171450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14300"/>
          <a:ext cx="6613635" cy="6286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412750</xdr:colOff>
      <xdr:row>0</xdr:row>
      <xdr:rowOff>31750</xdr:rowOff>
    </xdr:from>
    <xdr:to>
      <xdr:col>12</xdr:col>
      <xdr:colOff>80433</xdr:colOff>
      <xdr:row>2</xdr:row>
      <xdr:rowOff>26228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0" y="31750"/>
          <a:ext cx="1295400" cy="37547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518583</xdr:colOff>
      <xdr:row>6</xdr:row>
      <xdr:rowOff>105833</xdr:rowOff>
    </xdr:from>
    <xdr:ext cx="1289353" cy="375478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3000" y="105833"/>
          <a:ext cx="1289353" cy="375478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9525</xdr:colOff>
      <xdr:row>0</xdr:row>
      <xdr:rowOff>38100</xdr:rowOff>
    </xdr:from>
    <xdr:to>
      <xdr:col>48</xdr:col>
      <xdr:colOff>144916</xdr:colOff>
      <xdr:row>3</xdr:row>
      <xdr:rowOff>17699</xdr:rowOff>
    </xdr:to>
    <xdr:pic>
      <xdr:nvPicPr>
        <xdr:cNvPr id="4" name="Imagem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38100"/>
          <a:ext cx="1583191" cy="551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4:J19"/>
  <sheetViews>
    <sheetView showGridLines="0" tabSelected="1" view="pageBreakPreview" topLeftCell="A10" zoomScaleNormal="100" zoomScaleSheetLayoutView="100" workbookViewId="0">
      <selection activeCell="A17" sqref="A17:J18"/>
    </sheetView>
  </sheetViews>
  <sheetFormatPr defaultRowHeight="15"/>
  <sheetData>
    <row r="14" spans="1:10" ht="36">
      <c r="A14" s="534" t="s">
        <v>758</v>
      </c>
      <c r="B14" s="534"/>
      <c r="C14" s="534"/>
      <c r="D14" s="534"/>
      <c r="E14" s="534"/>
      <c r="F14" s="534"/>
      <c r="G14" s="534"/>
      <c r="H14" s="534"/>
      <c r="I14" s="534"/>
      <c r="J14" s="534"/>
    </row>
    <row r="17" spans="1:10" ht="36" customHeight="1">
      <c r="A17" s="535" t="s">
        <v>759</v>
      </c>
      <c r="B17" s="535"/>
      <c r="C17" s="535"/>
      <c r="D17" s="535"/>
      <c r="E17" s="535"/>
      <c r="F17" s="535"/>
      <c r="G17" s="535"/>
      <c r="H17" s="535"/>
      <c r="I17" s="535"/>
      <c r="J17" s="535"/>
    </row>
    <row r="18" spans="1:10" ht="36" customHeight="1">
      <c r="A18" s="535"/>
      <c r="B18" s="535"/>
      <c r="C18" s="535"/>
      <c r="D18" s="535"/>
      <c r="E18" s="535"/>
      <c r="F18" s="535"/>
      <c r="G18" s="535"/>
      <c r="H18" s="535"/>
      <c r="I18" s="535"/>
      <c r="J18" s="535"/>
    </row>
    <row r="19" spans="1:10" ht="36">
      <c r="A19" s="535"/>
      <c r="B19" s="535"/>
      <c r="C19" s="535"/>
      <c r="D19" s="535"/>
      <c r="E19" s="535"/>
      <c r="F19" s="535"/>
      <c r="G19" s="535"/>
      <c r="H19" s="535"/>
      <c r="I19" s="535"/>
      <c r="J19" s="535"/>
    </row>
  </sheetData>
  <mergeCells count="3">
    <mergeCell ref="A14:J14"/>
    <mergeCell ref="A19:J19"/>
    <mergeCell ref="A17:J18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31"/>
  <sheetViews>
    <sheetView showGridLines="0" view="pageBreakPreview" zoomScale="130" zoomScaleNormal="100" zoomScaleSheetLayoutView="130" workbookViewId="0">
      <selection activeCell="R10" sqref="R10"/>
    </sheetView>
  </sheetViews>
  <sheetFormatPr defaultRowHeight="15"/>
  <cols>
    <col min="1" max="1" width="9.140625" style="116"/>
    <col min="3" max="3" width="40.7109375" customWidth="1"/>
    <col min="6" max="6" width="4.7109375" customWidth="1"/>
    <col min="7" max="10" width="10.7109375" customWidth="1"/>
    <col min="11" max="11" width="4.7109375" customWidth="1"/>
    <col min="12" max="12" width="15.7109375" customWidth="1"/>
    <col min="13" max="14" width="10.7109375" customWidth="1"/>
    <col min="15" max="15" width="4.7109375" customWidth="1"/>
    <col min="16" max="16" width="9.140625" style="26"/>
    <col min="17" max="17" width="40.7109375" style="26" customWidth="1"/>
    <col min="18" max="21" width="10.7109375" style="26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25" customFormat="1" ht="15" customHeight="1">
      <c r="A4" s="2"/>
      <c r="B4" s="661" t="s">
        <v>72</v>
      </c>
      <c r="C4" s="661"/>
      <c r="D4" s="661"/>
      <c r="E4" s="661"/>
      <c r="F4" s="2"/>
      <c r="G4" s="661" t="s">
        <v>92</v>
      </c>
      <c r="H4" s="661"/>
      <c r="I4" s="661"/>
      <c r="J4" s="661"/>
      <c r="K4" s="2"/>
      <c r="L4" s="661" t="s">
        <v>92</v>
      </c>
      <c r="M4" s="661"/>
      <c r="N4" s="661"/>
      <c r="O4" s="2"/>
      <c r="P4" s="661" t="s">
        <v>110</v>
      </c>
      <c r="Q4" s="661"/>
      <c r="R4" s="661"/>
      <c r="S4" s="661"/>
      <c r="T4" s="114"/>
      <c r="U4" s="114"/>
    </row>
    <row r="5" spans="1:21" s="25" customFormat="1" ht="15" customHeight="1">
      <c r="A5" s="2"/>
      <c r="B5" s="661" t="s">
        <v>73</v>
      </c>
      <c r="C5" s="661"/>
      <c r="D5" s="661"/>
      <c r="E5" s="661"/>
      <c r="F5" s="2"/>
      <c r="G5" s="661" t="s">
        <v>93</v>
      </c>
      <c r="H5" s="661"/>
      <c r="I5" s="661"/>
      <c r="J5" s="661"/>
      <c r="K5" s="2"/>
      <c r="L5" s="661" t="s">
        <v>107</v>
      </c>
      <c r="M5" s="661"/>
      <c r="N5" s="661"/>
      <c r="O5" s="2"/>
      <c r="P5" s="661" t="s">
        <v>73</v>
      </c>
      <c r="Q5" s="661"/>
      <c r="R5" s="661"/>
      <c r="S5" s="661"/>
      <c r="T5" s="114"/>
      <c r="U5" s="114"/>
    </row>
    <row r="6" spans="1:21" s="25" customFormat="1" ht="15" customHeight="1">
      <c r="A6" s="2"/>
      <c r="B6" s="662"/>
      <c r="C6" s="662"/>
      <c r="D6" s="662"/>
      <c r="E6" s="662"/>
      <c r="F6" s="2"/>
      <c r="G6" s="662"/>
      <c r="H6" s="662"/>
      <c r="I6" s="662"/>
      <c r="J6" s="662"/>
      <c r="K6" s="2"/>
      <c r="L6" s="661" t="s">
        <v>755</v>
      </c>
      <c r="M6" s="661"/>
      <c r="N6" s="661"/>
      <c r="O6" s="2"/>
      <c r="P6" s="662"/>
      <c r="Q6" s="662"/>
      <c r="R6" s="662"/>
      <c r="S6" s="662"/>
      <c r="T6" s="115"/>
      <c r="U6" s="115"/>
    </row>
    <row r="7" spans="1:21" s="25" customFormat="1" ht="15" customHeight="1">
      <c r="A7" s="2"/>
      <c r="B7" s="32"/>
      <c r="C7" s="33"/>
      <c r="D7" s="33"/>
      <c r="E7" s="33"/>
      <c r="F7" s="2"/>
      <c r="G7" s="2"/>
      <c r="H7" s="2"/>
      <c r="I7" s="2"/>
      <c r="J7" s="2"/>
      <c r="K7" s="2"/>
      <c r="L7" s="2"/>
      <c r="M7" s="2"/>
      <c r="N7" s="2"/>
      <c r="O7" s="2"/>
      <c r="P7" s="32"/>
      <c r="Q7" s="33"/>
      <c r="R7" s="663" t="s">
        <v>111</v>
      </c>
      <c r="S7" s="664"/>
      <c r="T7" s="665"/>
      <c r="U7" s="33"/>
    </row>
    <row r="8" spans="1:21" s="25" customFormat="1" ht="38.25">
      <c r="A8" s="2"/>
      <c r="B8" s="34" t="s">
        <v>74</v>
      </c>
      <c r="C8" s="35" t="s">
        <v>75</v>
      </c>
      <c r="D8" s="36" t="s">
        <v>76</v>
      </c>
      <c r="E8" s="37" t="s">
        <v>77</v>
      </c>
      <c r="F8" s="2"/>
      <c r="G8" s="34" t="s">
        <v>94</v>
      </c>
      <c r="H8" s="37">
        <v>2021</v>
      </c>
      <c r="I8" s="37">
        <v>2022</v>
      </c>
      <c r="J8" s="37">
        <v>2023</v>
      </c>
      <c r="K8" s="2"/>
      <c r="L8" s="34" t="str">
        <f>G8</f>
        <v>Mês/Ano</v>
      </c>
      <c r="M8" s="34">
        <v>2022</v>
      </c>
      <c r="N8" s="34">
        <v>2023</v>
      </c>
      <c r="O8" s="2"/>
      <c r="P8" s="34" t="s">
        <v>74</v>
      </c>
      <c r="Q8" s="35" t="s">
        <v>75</v>
      </c>
      <c r="R8" s="36" t="s">
        <v>112</v>
      </c>
      <c r="S8" s="37" t="s">
        <v>113</v>
      </c>
      <c r="T8" s="36" t="s">
        <v>114</v>
      </c>
      <c r="U8" s="37" t="s">
        <v>115</v>
      </c>
    </row>
    <row r="9" spans="1:21" s="25" customFormat="1" ht="15" customHeight="1">
      <c r="A9" s="2"/>
      <c r="B9" s="128"/>
      <c r="C9" s="129"/>
      <c r="D9" s="119"/>
      <c r="E9" s="120"/>
      <c r="F9" s="2"/>
      <c r="G9" s="142" t="s">
        <v>95</v>
      </c>
      <c r="H9" s="143">
        <v>1.5E-3</v>
      </c>
      <c r="I9" s="143">
        <v>7.3000000000000001E-3</v>
      </c>
      <c r="J9" s="143">
        <v>1.12E-2</v>
      </c>
      <c r="K9" s="2"/>
      <c r="L9" s="142" t="str">
        <f>G9</f>
        <v>Janeiro</v>
      </c>
      <c r="M9" s="143"/>
      <c r="N9" s="143">
        <v>1.12E-2</v>
      </c>
      <c r="O9" s="2"/>
      <c r="P9" s="38"/>
      <c r="Q9" s="39"/>
      <c r="R9" s="119"/>
      <c r="S9" s="120"/>
      <c r="T9" s="119"/>
      <c r="U9" s="120"/>
    </row>
    <row r="10" spans="1:21" s="25" customFormat="1" ht="15" customHeight="1">
      <c r="A10" s="2"/>
      <c r="B10" s="128">
        <v>1</v>
      </c>
      <c r="C10" s="129" t="s">
        <v>78</v>
      </c>
      <c r="D10" s="130"/>
      <c r="E10" s="44">
        <v>4.9299999999999997E-2</v>
      </c>
      <c r="F10" s="2"/>
      <c r="G10" s="144" t="s">
        <v>96</v>
      </c>
      <c r="H10" s="145">
        <v>1.2999999999999999E-3</v>
      </c>
      <c r="I10" s="145">
        <v>7.6E-3</v>
      </c>
      <c r="J10" s="145">
        <v>9.1999999999999998E-3</v>
      </c>
      <c r="K10" s="2"/>
      <c r="L10" s="144" t="str">
        <f t="shared" ref="L10:L20" si="0">G10</f>
        <v>Fevereiro</v>
      </c>
      <c r="M10" s="145"/>
      <c r="N10" s="145">
        <v>9.1999999999999998E-3</v>
      </c>
      <c r="O10" s="2"/>
      <c r="P10" s="38">
        <v>1</v>
      </c>
      <c r="Q10" s="39" t="s">
        <v>78</v>
      </c>
      <c r="R10" s="121">
        <v>1.4999999999999999E-2</v>
      </c>
      <c r="S10" s="122">
        <v>3.4500000000000003E-2</v>
      </c>
      <c r="T10" s="121">
        <v>4.4900000000000002E-2</v>
      </c>
      <c r="U10" s="44">
        <f>R10</f>
        <v>1.4999999999999999E-2</v>
      </c>
    </row>
    <row r="11" spans="1:21" s="25" customFormat="1" ht="15" customHeight="1">
      <c r="A11" s="2"/>
      <c r="B11" s="131"/>
      <c r="C11" s="132"/>
      <c r="D11" s="133"/>
      <c r="E11" s="123"/>
      <c r="F11" s="2"/>
      <c r="G11" s="144" t="s">
        <v>97</v>
      </c>
      <c r="H11" s="145">
        <v>2E-3</v>
      </c>
      <c r="I11" s="145">
        <v>9.2999999999999992E-3</v>
      </c>
      <c r="J11" s="145">
        <v>1.17E-2</v>
      </c>
      <c r="K11" s="2"/>
      <c r="L11" s="144" t="str">
        <f t="shared" si="0"/>
        <v>Março</v>
      </c>
      <c r="M11" s="145"/>
      <c r="N11" s="145">
        <v>1.17E-2</v>
      </c>
      <c r="O11" s="2"/>
      <c r="P11" s="40"/>
      <c r="Q11" s="41"/>
      <c r="R11" s="121"/>
      <c r="S11" s="122"/>
      <c r="T11" s="121"/>
      <c r="U11" s="123"/>
    </row>
    <row r="12" spans="1:21" s="25" customFormat="1" ht="15" customHeight="1">
      <c r="A12" s="2"/>
      <c r="B12" s="128">
        <v>2</v>
      </c>
      <c r="C12" s="129" t="s">
        <v>79</v>
      </c>
      <c r="D12" s="130">
        <f>SUM(D13:D16)</f>
        <v>6.6500000000000004E-2</v>
      </c>
      <c r="E12" s="44"/>
      <c r="F12" s="2"/>
      <c r="G12" s="144" t="s">
        <v>98</v>
      </c>
      <c r="H12" s="145">
        <v>2.0999999999999999E-3</v>
      </c>
      <c r="I12" s="145">
        <v>8.3000000000000001E-3</v>
      </c>
      <c r="J12" s="145">
        <v>9.1999999999999998E-3</v>
      </c>
      <c r="K12" s="2"/>
      <c r="L12" s="144" t="str">
        <f t="shared" si="0"/>
        <v>Abril</v>
      </c>
      <c r="M12" s="145"/>
      <c r="N12" s="145">
        <v>9.1999999999999998E-3</v>
      </c>
      <c r="O12" s="2"/>
      <c r="P12" s="38">
        <v>2</v>
      </c>
      <c r="Q12" s="39" t="s">
        <v>79</v>
      </c>
      <c r="R12" s="121">
        <v>3.6499999999999998E-2</v>
      </c>
      <c r="S12" s="122">
        <v>5.7500000000000002E-2</v>
      </c>
      <c r="T12" s="121">
        <v>6.6500000000000004E-2</v>
      </c>
      <c r="U12" s="44">
        <f>R12</f>
        <v>3.6499999999999998E-2</v>
      </c>
    </row>
    <row r="13" spans="1:21" s="25" customFormat="1" ht="15" customHeight="1">
      <c r="A13" s="2"/>
      <c r="B13" s="134" t="s">
        <v>48</v>
      </c>
      <c r="C13" s="132" t="s">
        <v>80</v>
      </c>
      <c r="D13" s="133">
        <v>6.5000000000000006E-3</v>
      </c>
      <c r="E13" s="123"/>
      <c r="F13" s="2"/>
      <c r="G13" s="144" t="s">
        <v>99</v>
      </c>
      <c r="H13" s="145">
        <v>2.7000000000000001E-3</v>
      </c>
      <c r="I13" s="145">
        <v>1.03E-2</v>
      </c>
      <c r="J13" s="145">
        <v>1.12E-2</v>
      </c>
      <c r="K13" s="2"/>
      <c r="L13" s="144" t="str">
        <f t="shared" si="0"/>
        <v>Maio</v>
      </c>
      <c r="M13" s="145"/>
      <c r="N13" s="145">
        <v>1.12E-2</v>
      </c>
      <c r="O13" s="2"/>
      <c r="P13" s="42" t="s">
        <v>48</v>
      </c>
      <c r="Q13" s="41" t="s">
        <v>80</v>
      </c>
      <c r="R13" s="121"/>
      <c r="S13" s="122"/>
      <c r="T13" s="121"/>
      <c r="U13" s="123"/>
    </row>
    <row r="14" spans="1:21" s="25" customFormat="1" ht="15" customHeight="1">
      <c r="A14" s="2"/>
      <c r="B14" s="134" t="s">
        <v>50</v>
      </c>
      <c r="C14" s="132" t="s">
        <v>243</v>
      </c>
      <c r="D14" s="133">
        <v>0.03</v>
      </c>
      <c r="E14" s="123"/>
      <c r="F14" s="2"/>
      <c r="G14" s="144" t="s">
        <v>100</v>
      </c>
      <c r="H14" s="145">
        <v>3.0999999999999999E-3</v>
      </c>
      <c r="I14" s="145">
        <v>1.0200000000000001E-2</v>
      </c>
      <c r="J14" s="145">
        <v>1.0699999999999999E-2</v>
      </c>
      <c r="K14" s="2"/>
      <c r="L14" s="144" t="str">
        <f t="shared" si="0"/>
        <v>Junho</v>
      </c>
      <c r="M14" s="145"/>
      <c r="N14" s="145">
        <v>1.0699999999999999E-2</v>
      </c>
      <c r="O14" s="2"/>
      <c r="P14" s="42" t="s">
        <v>50</v>
      </c>
      <c r="Q14" s="41" t="s">
        <v>243</v>
      </c>
      <c r="R14" s="121"/>
      <c r="S14" s="122"/>
      <c r="T14" s="121"/>
      <c r="U14" s="123"/>
    </row>
    <row r="15" spans="1:21" s="25" customFormat="1" ht="15" customHeight="1">
      <c r="A15" s="2"/>
      <c r="B15" s="134" t="s">
        <v>52</v>
      </c>
      <c r="C15" s="132" t="s">
        <v>81</v>
      </c>
      <c r="D15" s="133">
        <v>0.03</v>
      </c>
      <c r="E15" s="123"/>
      <c r="F15" s="2"/>
      <c r="G15" s="144" t="s">
        <v>101</v>
      </c>
      <c r="H15" s="145">
        <v>3.5999999999999999E-3</v>
      </c>
      <c r="I15" s="145">
        <v>1.03E-2</v>
      </c>
      <c r="J15" s="145"/>
      <c r="K15" s="2"/>
      <c r="L15" s="144" t="str">
        <f t="shared" si="0"/>
        <v>Julho</v>
      </c>
      <c r="M15" s="145">
        <v>1.03E-2</v>
      </c>
      <c r="N15" s="145"/>
      <c r="O15" s="2"/>
      <c r="P15" s="42" t="s">
        <v>52</v>
      </c>
      <c r="Q15" s="41" t="s">
        <v>81</v>
      </c>
      <c r="R15" s="121"/>
      <c r="S15" s="122"/>
      <c r="T15" s="121"/>
      <c r="U15" s="123"/>
    </row>
    <row r="16" spans="1:21" s="25" customFormat="1" ht="15" customHeight="1">
      <c r="A16" s="2"/>
      <c r="B16" s="135" t="s">
        <v>54</v>
      </c>
      <c r="C16" s="136" t="s">
        <v>82</v>
      </c>
      <c r="D16" s="137">
        <v>0</v>
      </c>
      <c r="E16" s="123"/>
      <c r="F16" s="2"/>
      <c r="G16" s="144" t="s">
        <v>102</v>
      </c>
      <c r="H16" s="145">
        <v>4.3E-3</v>
      </c>
      <c r="I16" s="145">
        <v>1.17E-2</v>
      </c>
      <c r="J16" s="145"/>
      <c r="K16" s="2"/>
      <c r="L16" s="144" t="str">
        <f t="shared" si="0"/>
        <v>Agosto</v>
      </c>
      <c r="M16" s="145">
        <v>1.17E-2</v>
      </c>
      <c r="N16" s="145"/>
      <c r="O16" s="2"/>
      <c r="P16" s="117" t="s">
        <v>54</v>
      </c>
      <c r="Q16" s="118" t="s">
        <v>82</v>
      </c>
      <c r="R16" s="124"/>
      <c r="S16" s="122">
        <v>0</v>
      </c>
      <c r="T16" s="124"/>
      <c r="U16" s="44">
        <f>S16</f>
        <v>0</v>
      </c>
    </row>
    <row r="17" spans="1:21" s="25" customFormat="1" ht="15" customHeight="1">
      <c r="A17" s="2"/>
      <c r="B17" s="134"/>
      <c r="C17" s="132"/>
      <c r="D17" s="133"/>
      <c r="E17" s="123"/>
      <c r="F17" s="2"/>
      <c r="G17" s="144" t="s">
        <v>103</v>
      </c>
      <c r="H17" s="145">
        <v>4.4000000000000003E-3</v>
      </c>
      <c r="I17" s="145">
        <v>1.0699999999999999E-2</v>
      </c>
      <c r="J17" s="145"/>
      <c r="K17" s="2"/>
      <c r="L17" s="144" t="str">
        <f t="shared" si="0"/>
        <v>Setembro</v>
      </c>
      <c r="M17" s="145">
        <v>1.0699999999999999E-2</v>
      </c>
      <c r="N17" s="145"/>
      <c r="O17" s="2"/>
      <c r="P17" s="42"/>
      <c r="Q17" s="41"/>
      <c r="R17" s="121"/>
      <c r="S17" s="122"/>
      <c r="T17" s="121"/>
      <c r="U17" s="123"/>
    </row>
    <row r="18" spans="1:21" s="25" customFormat="1" ht="15" customHeight="1">
      <c r="A18" s="2"/>
      <c r="B18" s="138" t="s">
        <v>83</v>
      </c>
      <c r="C18" s="129" t="s">
        <v>84</v>
      </c>
      <c r="D18" s="133"/>
      <c r="E18" s="44">
        <v>4.8999999999999998E-3</v>
      </c>
      <c r="F18" s="2"/>
      <c r="G18" s="144" t="s">
        <v>104</v>
      </c>
      <c r="H18" s="145">
        <v>4.8999999999999998E-3</v>
      </c>
      <c r="I18" s="145">
        <v>1.0200000000000001E-2</v>
      </c>
      <c r="J18" s="145"/>
      <c r="K18" s="2"/>
      <c r="L18" s="144" t="str">
        <f t="shared" si="0"/>
        <v>Outubro</v>
      </c>
      <c r="M18" s="145">
        <v>1.0200000000000001E-2</v>
      </c>
      <c r="N18" s="145"/>
      <c r="O18" s="2"/>
      <c r="P18" s="43" t="s">
        <v>83</v>
      </c>
      <c r="Q18" s="39" t="s">
        <v>84</v>
      </c>
      <c r="R18" s="121">
        <v>3.0000000000000001E-3</v>
      </c>
      <c r="S18" s="122">
        <v>4.7999999999999996E-3</v>
      </c>
      <c r="T18" s="122">
        <v>8.2000000000000007E-3</v>
      </c>
      <c r="U18" s="44">
        <f>S18</f>
        <v>4.7999999999999996E-3</v>
      </c>
    </row>
    <row r="19" spans="1:21" s="25" customFormat="1" ht="15" customHeight="1">
      <c r="A19" s="2"/>
      <c r="B19" s="138"/>
      <c r="C19" s="129"/>
      <c r="D19" s="133"/>
      <c r="E19" s="44"/>
      <c r="F19" s="2"/>
      <c r="G19" s="144" t="s">
        <v>105</v>
      </c>
      <c r="H19" s="145">
        <v>5.8999999999999999E-3</v>
      </c>
      <c r="I19" s="145">
        <v>1.0200000000000001E-2</v>
      </c>
      <c r="J19" s="145"/>
      <c r="K19" s="2"/>
      <c r="L19" s="144" t="str">
        <f t="shared" si="0"/>
        <v>Novembro</v>
      </c>
      <c r="M19" s="145">
        <v>1.0200000000000001E-2</v>
      </c>
      <c r="N19" s="145"/>
      <c r="O19" s="2"/>
      <c r="P19" s="43"/>
      <c r="Q19" s="39"/>
      <c r="R19" s="121"/>
      <c r="S19" s="122"/>
      <c r="T19" s="121"/>
      <c r="U19" s="44"/>
    </row>
    <row r="20" spans="1:21" s="25" customFormat="1" ht="15" customHeight="1">
      <c r="A20" s="2"/>
      <c r="B20" s="138" t="s">
        <v>85</v>
      </c>
      <c r="C20" s="129" t="s">
        <v>86</v>
      </c>
      <c r="D20" s="133"/>
      <c r="E20" s="44">
        <v>1.3899999999999999E-2</v>
      </c>
      <c r="F20" s="2"/>
      <c r="G20" s="146" t="s">
        <v>106</v>
      </c>
      <c r="H20" s="147">
        <v>7.7000000000000002E-3</v>
      </c>
      <c r="I20" s="147">
        <v>1.12E-2</v>
      </c>
      <c r="J20" s="147"/>
      <c r="K20" s="2"/>
      <c r="L20" s="146" t="str">
        <f t="shared" si="0"/>
        <v>Dezembro</v>
      </c>
      <c r="M20" s="147">
        <v>1.12E-2</v>
      </c>
      <c r="N20" s="147"/>
      <c r="O20" s="2"/>
      <c r="P20" s="43" t="s">
        <v>85</v>
      </c>
      <c r="Q20" s="39" t="s">
        <v>86</v>
      </c>
      <c r="R20" s="121">
        <v>5.5999999999999999E-3</v>
      </c>
      <c r="S20" s="122">
        <v>8.5000000000000006E-3</v>
      </c>
      <c r="T20" s="121">
        <v>8.8999999999999999E-3</v>
      </c>
      <c r="U20" s="44">
        <f>R20</f>
        <v>5.5999999999999999E-3</v>
      </c>
    </row>
    <row r="21" spans="1:21" s="25" customFormat="1" ht="15" customHeight="1">
      <c r="A21" s="2"/>
      <c r="B21" s="131"/>
      <c r="C21" s="132"/>
      <c r="D21" s="133"/>
      <c r="E21" s="123"/>
      <c r="F21" s="2"/>
      <c r="G21" s="2"/>
      <c r="H21" s="2"/>
      <c r="I21" s="2"/>
      <c r="J21" s="148"/>
      <c r="K21" s="2"/>
      <c r="L21" s="58" t="s">
        <v>108</v>
      </c>
      <c r="M21" s="660">
        <f>SUM(M9:N20)</f>
        <v>0.1275</v>
      </c>
      <c r="N21" s="660"/>
      <c r="O21" s="2"/>
      <c r="P21" s="40"/>
      <c r="Q21" s="41"/>
      <c r="R21" s="121"/>
      <c r="S21" s="122"/>
      <c r="T21" s="121"/>
      <c r="U21" s="123"/>
    </row>
    <row r="22" spans="1:21" s="25" customFormat="1" ht="15" customHeight="1">
      <c r="A22" s="2"/>
      <c r="B22" s="128">
        <v>4</v>
      </c>
      <c r="C22" s="129" t="s">
        <v>87</v>
      </c>
      <c r="D22" s="133"/>
      <c r="E22" s="44">
        <f>M22</f>
        <v>1.0625000000000001E-2</v>
      </c>
      <c r="F22" s="2"/>
      <c r="G22" s="2"/>
      <c r="H22" s="2"/>
      <c r="I22" s="2"/>
      <c r="J22" s="2"/>
      <c r="K22" s="2"/>
      <c r="L22" s="34" t="s">
        <v>109</v>
      </c>
      <c r="M22" s="660">
        <f>AVERAGE(M9:N20)</f>
        <v>1.0625000000000001E-2</v>
      </c>
      <c r="N22" s="660"/>
      <c r="O22" s="2"/>
      <c r="P22" s="38">
        <v>4</v>
      </c>
      <c r="Q22" s="39" t="s">
        <v>87</v>
      </c>
      <c r="R22" s="121">
        <v>8.5000000000000006E-3</v>
      </c>
      <c r="S22" s="122">
        <v>8.5000000000000006E-3</v>
      </c>
      <c r="T22" s="121">
        <v>1.11E-2</v>
      </c>
      <c r="U22" s="44">
        <f>R22</f>
        <v>8.5000000000000006E-3</v>
      </c>
    </row>
    <row r="23" spans="1:21" s="25" customFormat="1" ht="15" customHeight="1">
      <c r="A23" s="2"/>
      <c r="B23" s="131"/>
      <c r="C23" s="132"/>
      <c r="D23" s="133"/>
      <c r="E23" s="123"/>
      <c r="F23" s="2"/>
      <c r="G23" s="2"/>
      <c r="H23" s="2"/>
      <c r="I23" s="2"/>
      <c r="J23" s="2"/>
      <c r="K23" s="2"/>
      <c r="L23" s="2"/>
      <c r="M23" s="2"/>
      <c r="N23" s="2"/>
      <c r="O23" s="2"/>
      <c r="P23" s="40"/>
      <c r="Q23" s="41"/>
      <c r="R23" s="121"/>
      <c r="S23" s="122"/>
      <c r="T23" s="121"/>
      <c r="U23" s="123"/>
    </row>
    <row r="24" spans="1:21" s="25" customFormat="1" ht="15" customHeight="1">
      <c r="A24" s="2"/>
      <c r="B24" s="128">
        <v>5</v>
      </c>
      <c r="C24" s="129" t="s">
        <v>88</v>
      </c>
      <c r="D24" s="130"/>
      <c r="E24" s="44">
        <v>8.0399999999999999E-2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38">
        <v>5</v>
      </c>
      <c r="Q24" s="39" t="s">
        <v>88</v>
      </c>
      <c r="R24" s="121">
        <v>3.5000000000000003E-2</v>
      </c>
      <c r="S24" s="122">
        <v>5.11E-2</v>
      </c>
      <c r="T24" s="121">
        <v>6.2199999999999998E-2</v>
      </c>
      <c r="U24" s="44">
        <f>R24</f>
        <v>3.5000000000000003E-2</v>
      </c>
    </row>
    <row r="25" spans="1:21" s="25" customFormat="1" ht="15" customHeight="1">
      <c r="A25" s="2"/>
      <c r="B25" s="139"/>
      <c r="C25" s="140"/>
      <c r="D25" s="141"/>
      <c r="E25" s="127"/>
      <c r="F25" s="2"/>
      <c r="G25" s="2"/>
      <c r="H25" s="2"/>
      <c r="I25" s="2"/>
      <c r="J25" s="2"/>
      <c r="K25" s="2"/>
      <c r="L25" s="2"/>
      <c r="M25" s="2"/>
      <c r="N25" s="2"/>
      <c r="O25" s="2"/>
      <c r="P25" s="45"/>
      <c r="Q25" s="46"/>
      <c r="R25" s="125"/>
      <c r="S25" s="126"/>
      <c r="T25" s="125"/>
      <c r="U25" s="127"/>
    </row>
    <row r="26" spans="1:21" s="25" customFormat="1">
      <c r="A26" s="2"/>
      <c r="B26" s="47"/>
      <c r="C26" s="35" t="s">
        <v>89</v>
      </c>
      <c r="D26" s="48"/>
      <c r="E26" s="49">
        <f>ROUND(((((1+$E$10+$E$18+$E$20)*(1+$E$22)*(1+$E$24))/(1-$D$12))-1),4)</f>
        <v>0.24929999999999999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47"/>
      <c r="Q26" s="35" t="s">
        <v>89</v>
      </c>
      <c r="R26" s="48"/>
      <c r="S26" s="49"/>
      <c r="T26" s="48"/>
      <c r="U26" s="49">
        <f>ROUND(((((1+$U$10+$U$18+$U$20)*(1+$U$22)*(1+$U$24))/(1-($U$12+U16)))-1),4)</f>
        <v>0.1109</v>
      </c>
    </row>
    <row r="27" spans="1:21" s="25" customFormat="1">
      <c r="A27" s="2"/>
      <c r="B27" s="50"/>
      <c r="C27" s="51"/>
      <c r="D27" s="52"/>
      <c r="E27" s="53"/>
      <c r="F27" s="2"/>
      <c r="G27" s="2"/>
      <c r="H27" s="2"/>
      <c r="I27" s="2"/>
      <c r="J27" s="2"/>
      <c r="K27" s="2"/>
      <c r="L27" s="2"/>
      <c r="M27" s="2"/>
      <c r="N27" s="2"/>
      <c r="O27" s="2"/>
      <c r="P27" s="50"/>
      <c r="Q27" s="51"/>
      <c r="R27" s="52"/>
      <c r="S27" s="53"/>
      <c r="T27" s="52"/>
      <c r="U27" s="53"/>
    </row>
    <row r="28" spans="1:21" s="25" customFormat="1">
      <c r="A28" s="2"/>
      <c r="B28" s="54" t="s">
        <v>90</v>
      </c>
      <c r="C28" s="33"/>
      <c r="D28" s="55"/>
      <c r="E28" s="55"/>
      <c r="F28" s="2"/>
      <c r="G28" s="2"/>
      <c r="H28" s="2"/>
      <c r="I28" s="2"/>
      <c r="J28" s="2"/>
      <c r="K28" s="2"/>
      <c r="L28" s="2"/>
      <c r="M28" s="2"/>
      <c r="N28" s="2"/>
      <c r="O28" s="2"/>
      <c r="P28" s="54" t="s">
        <v>90</v>
      </c>
      <c r="Q28" s="33"/>
      <c r="R28" s="55"/>
      <c r="S28" s="55"/>
      <c r="T28" s="55"/>
      <c r="U28" s="55"/>
    </row>
    <row r="29" spans="1:21" s="25" customFormat="1">
      <c r="A29" s="2"/>
      <c r="B29" s="54" t="s">
        <v>91</v>
      </c>
      <c r="C29" s="33"/>
      <c r="D29" s="55"/>
      <c r="E29" s="56"/>
      <c r="F29" s="2"/>
      <c r="G29" s="2"/>
      <c r="H29" s="2"/>
      <c r="I29" s="2"/>
      <c r="J29" s="2"/>
      <c r="K29" s="2"/>
      <c r="L29" s="2"/>
      <c r="M29" s="2"/>
      <c r="N29" s="2"/>
      <c r="O29" s="2"/>
      <c r="P29" s="54" t="s">
        <v>91</v>
      </c>
      <c r="Q29" s="33"/>
      <c r="R29" s="55"/>
      <c r="S29" s="56"/>
      <c r="T29" s="55"/>
      <c r="U29" s="56"/>
    </row>
    <row r="30" spans="1:21" s="25" customFormat="1">
      <c r="A30" s="2"/>
      <c r="B30" s="57"/>
      <c r="C30" s="33"/>
      <c r="D30" s="55"/>
      <c r="E30" s="56"/>
      <c r="F30" s="2"/>
      <c r="G30" s="2"/>
      <c r="H30" s="2"/>
      <c r="I30" s="2"/>
      <c r="J30" s="2"/>
      <c r="K30" s="2"/>
      <c r="L30" s="2"/>
      <c r="M30" s="2"/>
      <c r="N30" s="2"/>
      <c r="O30" s="2"/>
      <c r="P30" s="57"/>
      <c r="Q30" s="33"/>
      <c r="R30" s="55"/>
      <c r="S30" s="56"/>
      <c r="T30" s="55"/>
      <c r="U30" s="56"/>
    </row>
    <row r="31" spans="1:2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15">
    <mergeCell ref="G4:J4"/>
    <mergeCell ref="G5:J5"/>
    <mergeCell ref="G6:J6"/>
    <mergeCell ref="B4:E4"/>
    <mergeCell ref="B5:E5"/>
    <mergeCell ref="B6:E6"/>
    <mergeCell ref="M22:N22"/>
    <mergeCell ref="P4:S4"/>
    <mergeCell ref="P5:S5"/>
    <mergeCell ref="P6:S6"/>
    <mergeCell ref="R7:T7"/>
    <mergeCell ref="L4:N4"/>
    <mergeCell ref="L5:N5"/>
    <mergeCell ref="L6:N6"/>
    <mergeCell ref="M21:N21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2" manualBreakCount="2">
    <brk id="6" max="1048575" man="1"/>
    <brk id="15" max="3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82"/>
  <sheetViews>
    <sheetView view="pageBreakPreview" zoomScaleNormal="100" zoomScaleSheetLayoutView="100" workbookViewId="0">
      <selection activeCell="I51" sqref="I51"/>
    </sheetView>
  </sheetViews>
  <sheetFormatPr defaultRowHeight="15"/>
  <cols>
    <col min="1" max="1" width="9.7109375" style="25" customWidth="1"/>
    <col min="2" max="2" width="80.7109375" style="25" customWidth="1"/>
    <col min="3" max="4" width="15.7109375" style="25" customWidth="1"/>
    <col min="5" max="5" width="9.140625" style="25"/>
    <col min="6" max="6" width="13" style="25" bestFit="1" customWidth="1"/>
    <col min="7" max="16384" width="9.140625" style="25"/>
  </cols>
  <sheetData>
    <row r="1" spans="1:4" s="3" customFormat="1" ht="15" customHeight="1">
      <c r="A1" s="14"/>
      <c r="B1" s="14"/>
      <c r="C1" s="14"/>
      <c r="D1" s="14"/>
    </row>
    <row r="2" spans="1:4" s="3" customFormat="1" ht="15" customHeight="1">
      <c r="A2" s="14"/>
      <c r="B2" s="14"/>
      <c r="C2" s="14"/>
      <c r="D2" s="14"/>
    </row>
    <row r="3" spans="1:4" ht="30" customHeight="1">
      <c r="A3" s="536" t="s">
        <v>68</v>
      </c>
      <c r="B3" s="536"/>
      <c r="C3" s="536"/>
      <c r="D3" s="536"/>
    </row>
    <row r="4" spans="1:4" ht="30" customHeight="1">
      <c r="A4" s="536" t="s">
        <v>386</v>
      </c>
      <c r="B4" s="536"/>
      <c r="C4" s="536"/>
      <c r="D4" s="536"/>
    </row>
    <row r="5" spans="1:4" ht="15" customHeight="1">
      <c r="A5" s="9"/>
      <c r="B5" s="10"/>
      <c r="C5" s="10"/>
      <c r="D5" s="10"/>
    </row>
    <row r="6" spans="1:4" ht="31.5">
      <c r="A6" s="27" t="s">
        <v>60</v>
      </c>
      <c r="B6" s="28" t="s">
        <v>1</v>
      </c>
      <c r="C6" s="29" t="s">
        <v>70</v>
      </c>
      <c r="D6" s="29" t="s">
        <v>69</v>
      </c>
    </row>
    <row r="7" spans="1:4" s="158" customFormat="1" ht="30" customHeight="1">
      <c r="A7" s="98">
        <v>1</v>
      </c>
      <c r="B7" s="99" t="str">
        <f>INDEX(ORÇAMENTO!$E:$E,MATCH($A7,ORÇAMENTO!$A:$A,0))</f>
        <v>SERVIÇOS PRELIMINARES</v>
      </c>
      <c r="C7" s="252">
        <f>INDEX(ORÇAMENTO!$K:$K,MATCH($A7,ORÇAMENTO!$A:$A,0))</f>
        <v>24886.799999999999</v>
      </c>
      <c r="D7" s="100">
        <f>INDEX(ORÇAMENTO!$L:$L,MATCH($A7,ORÇAMENTO!$A:$A,0))</f>
        <v>3.2478697867576061E-3</v>
      </c>
    </row>
    <row r="8" spans="1:4" s="158" customFormat="1" ht="30" customHeight="1">
      <c r="A8" s="27" t="s">
        <v>40</v>
      </c>
      <c r="B8" s="28" t="str">
        <f>INDEX(ORÇAMENTO!$E:$E,MATCH($A8,ORÇAMENTO!$A:$A,0))</f>
        <v>CANTEIRO DE OBRAS</v>
      </c>
      <c r="C8" s="253">
        <f>INDEX(ORÇAMENTO!$K:$K,MATCH($A8,ORÇAMENTO!$A:$A,0))</f>
        <v>24886.799999999999</v>
      </c>
      <c r="D8" s="254">
        <f>INDEX(ORÇAMENTO!$L:$L,MATCH($A8,ORÇAMENTO!$A:$A,0))</f>
        <v>3.2478697867576061E-3</v>
      </c>
    </row>
    <row r="9" spans="1:4" ht="30" customHeight="1">
      <c r="A9" s="27">
        <v>2</v>
      </c>
      <c r="B9" s="28" t="str">
        <f>INDEX(ORÇAMENTO!$E:$E,MATCH($A9,ORÇAMENTO!$A:$A,0))</f>
        <v>MOBILIZAÇÃO</v>
      </c>
      <c r="C9" s="253">
        <f>INDEX(ORÇAMENTO!$K:$K,MATCH($A9,ORÇAMENTO!$A:$A,0))</f>
        <v>89977.34</v>
      </c>
      <c r="D9" s="254">
        <f>INDEX(ORÇAMENTO!$L:$L,MATCH($A9,ORÇAMENTO!$A:$A,0))</f>
        <v>1.1742557664256416E-2</v>
      </c>
    </row>
    <row r="10" spans="1:4" ht="30" customHeight="1">
      <c r="A10" s="27">
        <v>3</v>
      </c>
      <c r="B10" s="28" t="str">
        <f>INDEX(ORÇAMENTO!$E:$E,MATCH($A10,ORÇAMENTO!$A:$A,0))</f>
        <v>DESMOBILIZAÇÃO</v>
      </c>
      <c r="C10" s="253">
        <f>INDEX(ORÇAMENTO!$K:$K,MATCH($A10,ORÇAMENTO!$A:$A,0))</f>
        <v>89977.34</v>
      </c>
      <c r="D10" s="254">
        <f>INDEX(ORÇAMENTO!$L:$L,MATCH($A10,ORÇAMENTO!$A:$A,0))</f>
        <v>1.1742557664256416E-2</v>
      </c>
    </row>
    <row r="11" spans="1:4" ht="30" customHeight="1">
      <c r="A11" s="27">
        <v>4</v>
      </c>
      <c r="B11" s="28" t="str">
        <f>INDEX(ORÇAMENTO!$E:$E,MATCH($A11,ORÇAMENTO!$A:$A,0))</f>
        <v>ADMINISTRAÇÃO DA OBRA</v>
      </c>
      <c r="C11" s="253">
        <f>INDEX(ORÇAMENTO!$K:$K,MATCH($A11,ORÇAMENTO!$A:$A,0))</f>
        <v>583449.66</v>
      </c>
      <c r="D11" s="254">
        <f>INDEX(ORÇAMENTO!$L:$L,MATCH($A11,ORÇAMENTO!$A:$A,0))</f>
        <v>7.6143518765289117E-2</v>
      </c>
    </row>
    <row r="12" spans="1:4" ht="30" customHeight="1">
      <c r="A12" s="98">
        <v>5</v>
      </c>
      <c r="B12" s="99" t="str">
        <f>INDEX(ORÇAMENTO!$E:$E,MATCH($A12,ORÇAMENTO!$A:$A,0))</f>
        <v>SISTEMA DE DRENAGEM SUBSUPERFICIAL DA BACIA DO FOREBAY</v>
      </c>
      <c r="C12" s="252">
        <f>INDEX(ORÇAMENTO!$K:$K,MATCH($A12,ORÇAMENTO!$A:$A,0))</f>
        <v>1575484.4699999997</v>
      </c>
      <c r="D12" s="100">
        <f>INDEX(ORÇAMENTO!$L:$L,MATCH($A12,ORÇAMENTO!$A:$A,0))</f>
        <v>0.20560973727513465</v>
      </c>
    </row>
    <row r="13" spans="1:4" ht="30" customHeight="1">
      <c r="A13" s="27" t="s">
        <v>425</v>
      </c>
      <c r="B13" s="28" t="str">
        <f>INDEX(ORÇAMENTO!$E:$E,MATCH($A13,ORÇAMENTO!$A:$A,0))</f>
        <v>DEMOLIÇÃO DE PLACAS DE CONCRETO SIMPLES COM REMOÇÃO PARA BOTA-FORA</v>
      </c>
      <c r="C13" s="253">
        <f>INDEX(ORÇAMENTO!$K:$K,MATCH($A13,ORÇAMENTO!$A:$A,0))</f>
        <v>291294.96000000002</v>
      </c>
      <c r="D13" s="254">
        <f>INDEX(ORÇAMENTO!$L:$L,MATCH($A13,ORÇAMENTO!$A:$A,0))</f>
        <v>3.8015658888196371E-2</v>
      </c>
    </row>
    <row r="14" spans="1:4" ht="30" customHeight="1">
      <c r="A14" s="27" t="s">
        <v>426</v>
      </c>
      <c r="B14" s="28" t="str">
        <f>INDEX(ORÇAMENTO!$E:$E,MATCH($A14,ORÇAMENTO!$A:$A,0))</f>
        <v>CAMADAS DE ATERRO</v>
      </c>
      <c r="C14" s="253">
        <f>INDEX(ORÇAMENTO!$K:$K,MATCH($A14,ORÇAMENTO!$A:$A,0))</f>
        <v>157987.01</v>
      </c>
      <c r="D14" s="254">
        <f>INDEX(ORÇAMENTO!$L:$L,MATCH($A14,ORÇAMENTO!$A:$A,0))</f>
        <v>2.0618208708197586E-2</v>
      </c>
    </row>
    <row r="15" spans="1:4" ht="30" customHeight="1">
      <c r="A15" s="27" t="s">
        <v>427</v>
      </c>
      <c r="B15" s="28" t="str">
        <f>INDEX(ORÇAMENTO!$E:$E,MATCH($A15,ORÇAMENTO!$A:$A,0))</f>
        <v>DRENAGEM SUBSUPERFICIAL</v>
      </c>
      <c r="C15" s="253">
        <f>INDEX(ORÇAMENTO!$K:$K,MATCH($A15,ORÇAMENTO!$A:$A,0))</f>
        <v>287221.40000000002</v>
      </c>
      <c r="D15" s="254">
        <f>INDEX(ORÇAMENTO!$L:$L,MATCH($A15,ORÇAMENTO!$A:$A,0))</f>
        <v>3.7484036001825094E-2</v>
      </c>
    </row>
    <row r="16" spans="1:4" ht="30" customHeight="1">
      <c r="A16" s="27" t="s">
        <v>428</v>
      </c>
      <c r="B16" s="28" t="str">
        <f>INDEX(ORÇAMENTO!$E:$E,MATCH($A16,ORÇAMENTO!$A:$A,0))</f>
        <v>REVESTIMENTO DA BACIA DO FOREBAY</v>
      </c>
      <c r="C16" s="253">
        <f>INDEX(ORÇAMENTO!$K:$K,MATCH($A16,ORÇAMENTO!$A:$A,0))</f>
        <v>832919.84</v>
      </c>
      <c r="D16" s="254">
        <f>INDEX(ORÇAMENTO!$L:$L,MATCH($A16,ORÇAMENTO!$A:$A,0))</f>
        <v>0.10870080456816381</v>
      </c>
    </row>
    <row r="17" spans="1:6" s="158" customFormat="1" ht="30" customHeight="1">
      <c r="A17" s="27" t="s">
        <v>429</v>
      </c>
      <c r="B17" s="28" t="str">
        <f>INDEX(ORÇAMENTO!$E:$E,MATCH($A17,ORÇAMENTO!$A:$A,0))</f>
        <v>ACESSOS</v>
      </c>
      <c r="C17" s="253">
        <f>INDEX(ORÇAMENTO!$K:$K,MATCH($A17,ORÇAMENTO!$A:$A,0))</f>
        <v>6061.26</v>
      </c>
      <c r="D17" s="254">
        <f>INDEX(ORÇAMENTO!$L:$L,MATCH($A17,ORÇAMENTO!$A:$A,0))</f>
        <v>7.9102910875172405E-4</v>
      </c>
    </row>
    <row r="18" spans="1:6" s="158" customFormat="1" ht="30" customHeight="1">
      <c r="A18" s="98">
        <v>6</v>
      </c>
      <c r="B18" s="99" t="str">
        <f>INDEX(ORÇAMENTO!$E:$E,MATCH($A18,ORÇAMENTO!$A:$A,0))</f>
        <v>IMPERMEABILIZAÇÃO DA BERMA DE O&amp;M DO FOREBAY</v>
      </c>
      <c r="C18" s="252">
        <f>INDEX(ORÇAMENTO!$K:$K,MATCH($A18,ORÇAMENTO!$A:$A,0))</f>
        <v>797649.45</v>
      </c>
      <c r="D18" s="100">
        <f>INDEX(ORÇAMENTO!$L:$L,MATCH($A18,ORÇAMENTO!$A:$A,0))</f>
        <v>0.10409781687797634</v>
      </c>
    </row>
    <row r="19" spans="1:6" s="158" customFormat="1" ht="30" customHeight="1">
      <c r="A19" s="27" t="s">
        <v>430</v>
      </c>
      <c r="B19" s="28" t="str">
        <f>INDEX(ORÇAMENTO!$E:$E,MATCH($A19,ORÇAMENTO!$A:$A,0))</f>
        <v xml:space="preserve"> CAMADA DE SUB-BASE</v>
      </c>
      <c r="C19" s="253">
        <f>INDEX(ORÇAMENTO!$K:$K,MATCH($A19,ORÇAMENTO!$A:$A,0))</f>
        <v>51611.759999999995</v>
      </c>
      <c r="D19" s="254">
        <f>INDEX(ORÇAMENTO!$L:$L,MATCH($A19,ORÇAMENTO!$A:$A,0))</f>
        <v>6.7356299703210023E-3</v>
      </c>
    </row>
    <row r="20" spans="1:6" s="158" customFormat="1" ht="30" customHeight="1">
      <c r="A20" s="27" t="s">
        <v>431</v>
      </c>
      <c r="B20" s="28" t="str">
        <f>INDEX(ORÇAMENTO!$E:$E,MATCH($A20,ORÇAMENTO!$A:$A,0))</f>
        <v>CAMADA DE BASE</v>
      </c>
      <c r="C20" s="253">
        <f>INDEX(ORÇAMENTO!$K:$K,MATCH($A20,ORÇAMENTO!$A:$A,0))</f>
        <v>115480.01000000001</v>
      </c>
      <c r="D20" s="254">
        <f>INDEX(ORÇAMENTO!$L:$L,MATCH($A20,ORÇAMENTO!$A:$A,0))</f>
        <v>1.5070802009638288E-2</v>
      </c>
    </row>
    <row r="21" spans="1:6" s="158" customFormat="1" ht="30" customHeight="1">
      <c r="A21" s="27" t="s">
        <v>432</v>
      </c>
      <c r="B21" s="28" t="str">
        <f>INDEX(ORÇAMENTO!$E:$E,MATCH($A21,ORÇAMENTO!$A:$A,0))</f>
        <v>PAVIMENTAÇÃO DA BERMA DE O&amp;M DO FOREBAY</v>
      </c>
      <c r="C21" s="253">
        <f>INDEX(ORÇAMENTO!$K:$K,MATCH($A21,ORÇAMENTO!$A:$A,0))</f>
        <v>309913.34999999992</v>
      </c>
      <c r="D21" s="254">
        <f>INDEX(ORÇAMENTO!$L:$L,MATCH($A21,ORÇAMENTO!$A:$A,0))</f>
        <v>4.0445465306019071E-2</v>
      </c>
    </row>
    <row r="22" spans="1:6" s="158" customFormat="1" ht="30" customHeight="1">
      <c r="A22" s="27" t="s">
        <v>632</v>
      </c>
      <c r="B22" s="28" t="str">
        <f>INDEX(ORÇAMENTO!$E:$E,MATCH($A22,ORÇAMENTO!$A:$A,0))</f>
        <v>DEMOLIÇÃO DE BLOCOS DE CONCRETO</v>
      </c>
      <c r="C22" s="253">
        <f>INDEX(ORÇAMENTO!$K:$K,MATCH($A22,ORÇAMENTO!$A:$A,0))</f>
        <v>320644.33000000007</v>
      </c>
      <c r="D22" s="254">
        <f>INDEX(ORÇAMENTO!$L:$L,MATCH($A22,ORÇAMENTO!$A:$A,0))</f>
        <v>4.1845919591997988E-2</v>
      </c>
    </row>
    <row r="23" spans="1:6" s="158" customFormat="1" ht="30" customHeight="1">
      <c r="A23" s="98">
        <v>7</v>
      </c>
      <c r="B23" s="99" t="str">
        <f>INDEX(ORÇAMENTO!$E:$E,MATCH($A23,ORÇAMENTO!$A:$A,0))</f>
        <v>DRENAGEM DE BERMA DE O&amp;M E DRENAGEM EXTERNA</v>
      </c>
      <c r="C23" s="252">
        <f>INDEX(ORÇAMENTO!$K:$K,MATCH($A23,ORÇAMENTO!$A:$A,0))</f>
        <v>97691.65</v>
      </c>
      <c r="D23" s="100">
        <f>INDEX(ORÇAMENTO!$L:$L,MATCH($A23,ORÇAMENTO!$A:$A,0))</f>
        <v>1.2749319255729889E-2</v>
      </c>
    </row>
    <row r="24" spans="1:6" s="158" customFormat="1" ht="30" customHeight="1">
      <c r="A24" s="27" t="s">
        <v>433</v>
      </c>
      <c r="B24" s="28" t="str">
        <f>INDEX(ORÇAMENTO!$E:$E,MATCH($A24,ORÇAMENTO!$A:$A,0))</f>
        <v>MEIO-FIO DE CONCRETO - MFC 03 
- AREIA E BRITA  COMERCIAL</v>
      </c>
      <c r="C24" s="253">
        <f>INDEX(ORÇAMENTO!$K:$K,MATCH($A24,ORÇAMENTO!$A:$A,0))</f>
        <v>20260.32</v>
      </c>
      <c r="D24" s="254">
        <f>INDEX(ORÇAMENTO!$L:$L,MATCH($A24,ORÇAMENTO!$A:$A,0))</f>
        <v>2.6440876769227403E-3</v>
      </c>
    </row>
    <row r="25" spans="1:6" s="158" customFormat="1" ht="30" customHeight="1">
      <c r="A25" s="27" t="s">
        <v>434</v>
      </c>
      <c r="B25" s="28" t="str">
        <f>INDEX(ORÇAMENTO!$E:$E,MATCH($A25,ORÇAMENTO!$A:$A,0))</f>
        <v>DESCIDA DÁGUA DE ATERRO EM DEGRAUS - DAD 02 
- AREIA E BRITA  COMERCIAL</v>
      </c>
      <c r="C25" s="253">
        <f>INDEX(ORÇAMENTO!$K:$K,MATCH($A25,ORÇAMENTO!$A:$A,0))</f>
        <v>61507.579999999987</v>
      </c>
      <c r="D25" s="254">
        <f>INDEX(ORÇAMENTO!$L:$L,MATCH($A25,ORÇAMENTO!$A:$A,0))</f>
        <v>8.027091098034957E-3</v>
      </c>
    </row>
    <row r="26" spans="1:6" s="158" customFormat="1" ht="30" customHeight="1">
      <c r="A26" s="27" t="s">
        <v>435</v>
      </c>
      <c r="B26" s="28" t="str">
        <f>INDEX(ORÇAMENTO!$E:$E,MATCH($A26,ORÇAMENTO!$A:$A,0))</f>
        <v>ENTRADA PARA DESCIDA DÁGUA - EDA 02 
- AREIA E BRITA  COMERCIAL</v>
      </c>
      <c r="C26" s="253">
        <f>INDEX(ORÇAMENTO!$K:$K,MATCH($A26,ORÇAMENTO!$A:$A,0))</f>
        <v>362.39</v>
      </c>
      <c r="D26" s="254">
        <f>INDEX(ORÇAMENTO!$L:$L,MATCH($A26,ORÇAMENTO!$A:$A,0))</f>
        <v>4.7293968369701561E-5</v>
      </c>
    </row>
    <row r="27" spans="1:6" s="158" customFormat="1" ht="30" customHeight="1">
      <c r="A27" s="27" t="s">
        <v>616</v>
      </c>
      <c r="B27" s="28" t="str">
        <f>INDEX(ORÇAMENTO!$E:$E,MATCH($A27,ORÇAMENTO!$A:$A,0))</f>
        <v>CANALETA TRAPEZOIDAL DE CONCRETO (40x50) - AREIA E BRITA  COMERCIAL</v>
      </c>
      <c r="C27" s="253">
        <f>INDEX(ORÇAMENTO!$K:$K,MATCH($A27,ORÇAMENTO!$A:$A,0))</f>
        <v>15561.360000000002</v>
      </c>
      <c r="D27" s="254">
        <f>INDEX(ORÇAMENTO!$L:$L,MATCH($A27,ORÇAMENTO!$A:$A,0))</f>
        <v>2.0308465124024917E-3</v>
      </c>
    </row>
    <row r="28" spans="1:6" s="158" customFormat="1" ht="30" customHeight="1">
      <c r="A28" s="98">
        <v>8</v>
      </c>
      <c r="B28" s="99" t="str">
        <f>INDEX(ORÇAMENTO!$E:$E,MATCH($A28,ORÇAMENTO!$A:$A,0))</f>
        <v>IMPERMEABILIZAÇÃO DO FOREBAY</v>
      </c>
      <c r="C28" s="252">
        <f>INDEX(ORÇAMENTO!$K:$K,MATCH($A28,ORÇAMENTO!$A:$A,0))</f>
        <v>4403382.5999999996</v>
      </c>
      <c r="D28" s="100">
        <f>INDEX(ORÇAMENTO!$L:$L,MATCH($A28,ORÇAMENTO!$A:$A,0))</f>
        <v>0.57466662271059965</v>
      </c>
    </row>
    <row r="29" spans="1:6" s="158" customFormat="1" ht="30" customHeight="1">
      <c r="A29" s="27" t="s">
        <v>562</v>
      </c>
      <c r="B29" s="28" t="str">
        <f>INDEX(ORÇAMENTO!$E:$E,MATCH($A29,ORÇAMENTO!$A:$A,0))</f>
        <v>SERVIÇOS DE IMPERMEABILIZAÇÃO COM POLIÚREIA</v>
      </c>
      <c r="C29" s="253">
        <f>INDEX(ORÇAMENTO!$K:$K,MATCH($A29,ORÇAMENTO!$A:$A,0))</f>
        <v>4403382.5999999996</v>
      </c>
      <c r="D29" s="254">
        <f>INDEX(ORÇAMENTO!$L:$L,MATCH($A29,ORÇAMENTO!$A:$A,0))</f>
        <v>0.57466662271059965</v>
      </c>
      <c r="F29" s="347" t="s">
        <v>11</v>
      </c>
    </row>
    <row r="30" spans="1:6" ht="30" customHeight="1">
      <c r="A30" s="302"/>
      <c r="B30" s="303" t="s">
        <v>352</v>
      </c>
      <c r="C30" s="304">
        <f>C7+C9+C10+C11+C12+C18+C23+C28</f>
        <v>7662499.3099999987</v>
      </c>
      <c r="D30" s="305">
        <f>D7+D9+D10+D11+D12+D18+D23+D28</f>
        <v>1</v>
      </c>
      <c r="F30" s="348"/>
    </row>
    <row r="31" spans="1:6">
      <c r="A31" s="2"/>
      <c r="B31" s="2"/>
      <c r="C31" s="2"/>
      <c r="D31" s="2"/>
    </row>
    <row r="32" spans="1:6">
      <c r="A32" s="2"/>
      <c r="B32" s="2"/>
      <c r="C32" s="2"/>
      <c r="D32" s="2"/>
    </row>
    <row r="33" spans="1:7" s="70" customFormat="1" ht="30" customHeight="1">
      <c r="A33" s="536" t="s">
        <v>135</v>
      </c>
      <c r="B33" s="536"/>
      <c r="C33" s="536"/>
      <c r="D33" s="536"/>
    </row>
    <row r="34" spans="1:7" s="158" customFormat="1" ht="30" customHeight="1">
      <c r="A34" s="536" t="s">
        <v>386</v>
      </c>
      <c r="B34" s="536"/>
      <c r="C34" s="536"/>
      <c r="D34" s="536"/>
    </row>
    <row r="35" spans="1:7" s="70" customFormat="1" ht="15" customHeight="1">
      <c r="A35" s="31"/>
      <c r="B35" s="69"/>
      <c r="C35" s="69"/>
      <c r="D35" s="69"/>
    </row>
    <row r="36" spans="1:7" ht="30" customHeight="1">
      <c r="A36" s="27" t="s">
        <v>60</v>
      </c>
      <c r="B36" s="28" t="s">
        <v>1</v>
      </c>
      <c r="C36" s="29" t="s">
        <v>70</v>
      </c>
      <c r="D36" s="29" t="s">
        <v>69</v>
      </c>
    </row>
    <row r="37" spans="1:7" s="158" customFormat="1" ht="30" customHeight="1">
      <c r="A37" s="30"/>
      <c r="B37" s="308" t="s">
        <v>245</v>
      </c>
      <c r="C37" s="160">
        <f>SUMIF(ORÇAMENTO!O:O,"SERVIÇOS",ORÇAMENTO!K:K)</f>
        <v>2312416.1600000006</v>
      </c>
      <c r="D37" s="312">
        <f>C37/C40</f>
        <v>0.30178353908393374</v>
      </c>
    </row>
    <row r="38" spans="1:7" s="158" customFormat="1" ht="30" customHeight="1">
      <c r="A38" s="30"/>
      <c r="B38" s="308" t="s">
        <v>246</v>
      </c>
      <c r="C38" s="160">
        <f>SUMIF(ORÇAMENTO!O:O,"MATERIAL",ORÇAMENTO!K:K)</f>
        <v>946700.55000000016</v>
      </c>
      <c r="D38" s="312">
        <f>C38/C40</f>
        <v>0.12354983820546668</v>
      </c>
    </row>
    <row r="39" spans="1:7" s="158" customFormat="1" ht="30" customHeight="1">
      <c r="A39" s="30"/>
      <c r="B39" s="308" t="s">
        <v>569</v>
      </c>
      <c r="C39" s="160">
        <f>ORÇAMENTO!K193</f>
        <v>4403382.5999999996</v>
      </c>
      <c r="D39" s="312">
        <f>C39/C40</f>
        <v>0.57466662271059954</v>
      </c>
    </row>
    <row r="40" spans="1:7" s="158" customFormat="1" ht="30" customHeight="1">
      <c r="A40" s="306"/>
      <c r="B40" s="307" t="s">
        <v>71</v>
      </c>
      <c r="C40" s="304">
        <f>SUM(C37:C39)</f>
        <v>7662499.3100000005</v>
      </c>
      <c r="D40" s="305">
        <f>SUM(D37:D39)</f>
        <v>1</v>
      </c>
    </row>
    <row r="41" spans="1:7">
      <c r="A41" s="157"/>
      <c r="B41" s="157"/>
      <c r="C41" s="157"/>
      <c r="D41" s="157"/>
    </row>
    <row r="42" spans="1:7" ht="15.75">
      <c r="A42" s="157"/>
      <c r="B42" s="157"/>
      <c r="C42" s="511"/>
      <c r="D42" s="512"/>
    </row>
    <row r="43" spans="1:7">
      <c r="A43" s="157"/>
      <c r="B43" s="157"/>
      <c r="C43" s="157"/>
      <c r="D43" s="157"/>
    </row>
    <row r="45" spans="1:7" ht="15.75" thickBot="1"/>
    <row r="46" spans="1:7" ht="15.75" thickBot="1">
      <c r="E46" s="507" t="s">
        <v>745</v>
      </c>
      <c r="F46" s="508" t="s">
        <v>746</v>
      </c>
      <c r="G46" s="508" t="s">
        <v>747</v>
      </c>
    </row>
    <row r="47" spans="1:7" ht="15.75" thickBot="1">
      <c r="E47" s="509">
        <f>D7+D9+D10+D11+D28</f>
        <v>0.67754312659115923</v>
      </c>
      <c r="F47" s="510">
        <f>D12+D23</f>
        <v>0.21835905653086454</v>
      </c>
      <c r="G47" s="510">
        <f>D18</f>
        <v>0.10409781687797634</v>
      </c>
    </row>
    <row r="82" spans="2:2">
      <c r="B82" s="25" t="s">
        <v>244</v>
      </c>
    </row>
  </sheetData>
  <mergeCells count="4">
    <mergeCell ref="A3:D3"/>
    <mergeCell ref="A33:D33"/>
    <mergeCell ref="A4:D4"/>
    <mergeCell ref="A34:D3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portrait" r:id="rId1"/>
  <rowBreaks count="1" manualBreakCount="1">
    <brk id="30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03"/>
  <sheetViews>
    <sheetView showGridLines="0" view="pageBreakPreview" topLeftCell="B199" zoomScaleNormal="100" zoomScaleSheetLayoutView="100" workbookViewId="0">
      <selection activeCell="E15" sqref="E15"/>
    </sheetView>
  </sheetViews>
  <sheetFormatPr defaultRowHeight="15"/>
  <cols>
    <col min="1" max="1" width="9.7109375" style="110" hidden="1" customWidth="1"/>
    <col min="2" max="3" width="9.7109375" style="107" customWidth="1"/>
    <col min="4" max="4" width="9.7109375" customWidth="1"/>
    <col min="5" max="5" width="52.28515625" customWidth="1"/>
    <col min="6" max="6" width="6.7109375" customWidth="1"/>
    <col min="7" max="8" width="15.7109375" customWidth="1"/>
    <col min="9" max="9" width="10.7109375" customWidth="1"/>
    <col min="10" max="12" width="15.7109375" customWidth="1"/>
    <col min="13" max="13" width="28.5703125" hidden="1" customWidth="1"/>
    <col min="14" max="14" width="12.28515625" bestFit="1" customWidth="1"/>
    <col min="15" max="15" width="9.140625" style="95" customWidth="1"/>
  </cols>
  <sheetData>
    <row r="1" spans="1:15" s="3" customFormat="1" ht="15" customHeight="1">
      <c r="A1" s="108"/>
      <c r="B1" s="102"/>
      <c r="C1" s="102"/>
      <c r="D1" s="14"/>
      <c r="E1" s="14"/>
      <c r="F1" s="14"/>
      <c r="G1" s="15"/>
      <c r="H1" s="14"/>
      <c r="I1" s="14"/>
      <c r="J1" s="14"/>
      <c r="K1" s="14"/>
      <c r="L1" s="14"/>
      <c r="M1" s="14"/>
      <c r="O1" s="94"/>
    </row>
    <row r="2" spans="1:15" s="3" customFormat="1" ht="15" customHeight="1">
      <c r="A2" s="108"/>
      <c r="B2" s="102"/>
      <c r="C2" s="102"/>
      <c r="D2" s="14"/>
      <c r="E2" s="14"/>
      <c r="F2" s="14"/>
      <c r="G2" s="15"/>
      <c r="H2" s="14"/>
      <c r="I2" s="14"/>
      <c r="J2" s="14"/>
      <c r="K2" s="14"/>
      <c r="L2" s="14"/>
      <c r="M2" s="14"/>
      <c r="O2" s="94"/>
    </row>
    <row r="3" spans="1:15" ht="30" customHeight="1">
      <c r="A3" s="109"/>
      <c r="B3" s="103"/>
      <c r="C3" s="103"/>
      <c r="D3" s="62"/>
      <c r="E3" s="62"/>
      <c r="F3" s="92" t="s">
        <v>65</v>
      </c>
      <c r="G3" s="62"/>
      <c r="H3" s="62"/>
      <c r="I3" s="62"/>
      <c r="J3" s="62"/>
      <c r="K3" s="62"/>
      <c r="L3" s="62"/>
      <c r="M3" s="62"/>
    </row>
    <row r="4" spans="1:15" ht="15" customHeight="1">
      <c r="A4" s="109"/>
      <c r="B4" s="103"/>
      <c r="C4" s="103"/>
      <c r="D4" s="62"/>
      <c r="E4" s="62"/>
      <c r="F4" s="62"/>
      <c r="G4" s="62"/>
      <c r="H4" s="62"/>
      <c r="I4" s="62"/>
      <c r="J4" s="149" t="s">
        <v>178</v>
      </c>
      <c r="K4" s="150"/>
      <c r="L4" s="151"/>
      <c r="M4" s="17"/>
    </row>
    <row r="5" spans="1:15" ht="15" customHeight="1">
      <c r="B5" s="4"/>
      <c r="C5" s="112"/>
      <c r="D5" s="17"/>
      <c r="E5" s="17"/>
      <c r="F5" s="17"/>
      <c r="G5" s="17"/>
      <c r="H5" s="11" t="s">
        <v>63</v>
      </c>
      <c r="I5" s="159">
        <f>BDI!E26</f>
        <v>0.24929999999999999</v>
      </c>
      <c r="J5" s="152" t="s">
        <v>5</v>
      </c>
      <c r="K5" s="537" t="s">
        <v>756</v>
      </c>
      <c r="L5" s="537"/>
      <c r="M5" s="17"/>
    </row>
    <row r="6" spans="1:15" ht="15" customHeight="1">
      <c r="A6" s="111"/>
      <c r="B6" s="104"/>
      <c r="C6" s="104"/>
      <c r="D6" s="10"/>
      <c r="E6" s="10"/>
      <c r="F6" s="10"/>
      <c r="G6" s="10"/>
      <c r="H6" s="11" t="s">
        <v>64</v>
      </c>
      <c r="I6" s="159">
        <f>BDI!U26</f>
        <v>0.1109</v>
      </c>
      <c r="J6" s="152" t="s">
        <v>9</v>
      </c>
      <c r="K6" s="538" t="s">
        <v>757</v>
      </c>
      <c r="L6" s="538"/>
      <c r="M6" s="10"/>
    </row>
    <row r="7" spans="1:15" ht="47.25">
      <c r="A7" s="106"/>
      <c r="B7" s="101" t="s">
        <v>60</v>
      </c>
      <c r="C7" s="101" t="s">
        <v>0</v>
      </c>
      <c r="D7" s="12" t="s">
        <v>8</v>
      </c>
      <c r="E7" s="12" t="s">
        <v>61</v>
      </c>
      <c r="F7" s="12" t="s">
        <v>59</v>
      </c>
      <c r="G7" s="24" t="s">
        <v>2</v>
      </c>
      <c r="H7" s="13" t="s">
        <v>20</v>
      </c>
      <c r="I7" s="13" t="s">
        <v>62</v>
      </c>
      <c r="J7" s="13" t="s">
        <v>6</v>
      </c>
      <c r="K7" s="13" t="s">
        <v>7</v>
      </c>
      <c r="L7" s="13" t="s">
        <v>66</v>
      </c>
      <c r="M7" s="12" t="s">
        <v>424</v>
      </c>
    </row>
    <row r="8" spans="1:15" s="97" customFormat="1" ht="30" customHeight="1">
      <c r="A8" s="182">
        <v>1</v>
      </c>
      <c r="B8" s="105">
        <f>A8</f>
        <v>1</v>
      </c>
      <c r="C8" s="113"/>
      <c r="D8" s="73"/>
      <c r="E8" s="74" t="s">
        <v>174</v>
      </c>
      <c r="F8" s="73"/>
      <c r="G8" s="75"/>
      <c r="H8" s="75"/>
      <c r="I8" s="240"/>
      <c r="J8" s="75"/>
      <c r="K8" s="76">
        <f>K9</f>
        <v>24886.799999999999</v>
      </c>
      <c r="L8" s="77">
        <f>L9</f>
        <v>3.2478697867576061E-3</v>
      </c>
      <c r="M8" s="241"/>
      <c r="O8" s="95" t="str">
        <f t="shared" ref="O8:O35" si="0">IF(I8=$I$6,"MATERIAL",IF(I8=$I$5,"SERVIÇOS"," "))</f>
        <v xml:space="preserve"> </v>
      </c>
    </row>
    <row r="9" spans="1:15" s="61" customFormat="1" ht="30" customHeight="1">
      <c r="A9" s="182" t="s">
        <v>40</v>
      </c>
      <c r="B9" s="452" t="s">
        <v>11</v>
      </c>
      <c r="C9" s="243"/>
      <c r="D9" s="244"/>
      <c r="E9" s="245" t="s">
        <v>28</v>
      </c>
      <c r="F9" s="244"/>
      <c r="G9" s="246"/>
      <c r="H9" s="246"/>
      <c r="I9" s="247"/>
      <c r="J9" s="246"/>
      <c r="K9" s="248">
        <f>SUBTOTAL(109,K10:K15)</f>
        <v>24886.799999999999</v>
      </c>
      <c r="L9" s="249">
        <f>SUBTOTAL(109,L10:L15)</f>
        <v>3.2478697867576061E-3</v>
      </c>
      <c r="M9" s="250"/>
      <c r="O9" s="95" t="str">
        <f t="shared" si="0"/>
        <v xml:space="preserve"> </v>
      </c>
    </row>
    <row r="10" spans="1:15" s="61" customFormat="1" ht="45">
      <c r="A10" s="184" t="s">
        <v>136</v>
      </c>
      <c r="B10" s="320" t="str">
        <f t="shared" ref="B10:B41" si="1">A10</f>
        <v>1.1.1</v>
      </c>
      <c r="C10" s="321">
        <v>10776</v>
      </c>
      <c r="D10" s="322" t="s">
        <v>5</v>
      </c>
      <c r="E10" s="282" t="s">
        <v>25</v>
      </c>
      <c r="F10" s="532" t="s">
        <v>120</v>
      </c>
      <c r="G10" s="325">
        <f>INDEX(MEMÓRIA!L:L,MATCH($A10,MEMÓRIA!A:A,0))</f>
        <v>6</v>
      </c>
      <c r="H10" s="325">
        <v>658.59</v>
      </c>
      <c r="I10" s="183">
        <f t="shared" ref="I10:I15" si="2">$I$6</f>
        <v>0.1109</v>
      </c>
      <c r="J10" s="326">
        <f t="shared" ref="J10:J15" si="3">TRUNC(H10*(1+I10),2)</f>
        <v>731.62</v>
      </c>
      <c r="K10" s="327">
        <f t="shared" ref="K10:K15" si="4">TRUNC(G10*J10,2)</f>
        <v>4389.72</v>
      </c>
      <c r="L10" s="328">
        <f t="shared" ref="L10:L17" si="5">K10/$K$196</f>
        <v>5.7288357524171846E-4</v>
      </c>
      <c r="M10" s="185"/>
      <c r="O10" s="95" t="str">
        <f t="shared" si="0"/>
        <v>MATERIAL</v>
      </c>
    </row>
    <row r="11" spans="1:15" s="61" customFormat="1" ht="30" customHeight="1">
      <c r="A11" s="184" t="s">
        <v>175</v>
      </c>
      <c r="B11" s="320" t="str">
        <f t="shared" si="1"/>
        <v>1.1.2</v>
      </c>
      <c r="C11" s="321" t="s">
        <v>323</v>
      </c>
      <c r="D11" s="322" t="s">
        <v>5</v>
      </c>
      <c r="E11" s="282" t="s">
        <v>129</v>
      </c>
      <c r="F11" s="532" t="s">
        <v>120</v>
      </c>
      <c r="G11" s="325">
        <f>INDEX(MEMÓRIA!L:L,MATCH($A11,MEMÓRIA!A:A,0))</f>
        <v>6</v>
      </c>
      <c r="H11" s="325">
        <v>658.59</v>
      </c>
      <c r="I11" s="183">
        <f t="shared" si="2"/>
        <v>0.1109</v>
      </c>
      <c r="J11" s="326">
        <f t="shared" si="3"/>
        <v>731.62</v>
      </c>
      <c r="K11" s="327">
        <f t="shared" si="4"/>
        <v>4389.72</v>
      </c>
      <c r="L11" s="328">
        <f t="shared" si="5"/>
        <v>5.7288357524171846E-4</v>
      </c>
      <c r="M11" s="185"/>
      <c r="O11" s="95" t="str">
        <f t="shared" si="0"/>
        <v>MATERIAL</v>
      </c>
    </row>
    <row r="12" spans="1:15" s="158" customFormat="1" ht="30" customHeight="1">
      <c r="A12" s="184" t="s">
        <v>176</v>
      </c>
      <c r="B12" s="320" t="str">
        <f t="shared" si="1"/>
        <v>1.1.3</v>
      </c>
      <c r="C12" s="321" t="s">
        <v>324</v>
      </c>
      <c r="D12" s="322" t="s">
        <v>5</v>
      </c>
      <c r="E12" s="282" t="s">
        <v>384</v>
      </c>
      <c r="F12" s="532" t="s">
        <v>120</v>
      </c>
      <c r="G12" s="325">
        <f>INDEX(MEMÓRIA!L:L,MATCH($A12,MEMÓRIA!A:A,0))</f>
        <v>6</v>
      </c>
      <c r="H12" s="325">
        <v>658.59</v>
      </c>
      <c r="I12" s="183">
        <f t="shared" si="2"/>
        <v>0.1109</v>
      </c>
      <c r="J12" s="326">
        <f t="shared" si="3"/>
        <v>731.62</v>
      </c>
      <c r="K12" s="327">
        <f t="shared" si="4"/>
        <v>4389.72</v>
      </c>
      <c r="L12" s="328">
        <f t="shared" si="5"/>
        <v>5.7288357524171846E-4</v>
      </c>
      <c r="M12" s="185"/>
      <c r="O12" s="95" t="str">
        <f t="shared" si="0"/>
        <v>MATERIAL</v>
      </c>
    </row>
    <row r="13" spans="1:15" s="61" customFormat="1" ht="30" customHeight="1">
      <c r="A13" s="184" t="s">
        <v>177</v>
      </c>
      <c r="B13" s="320" t="str">
        <f t="shared" si="1"/>
        <v>1.1.4</v>
      </c>
      <c r="C13" s="321" t="s">
        <v>385</v>
      </c>
      <c r="D13" s="322" t="s">
        <v>5</v>
      </c>
      <c r="E13" s="282" t="s">
        <v>130</v>
      </c>
      <c r="F13" s="532" t="s">
        <v>120</v>
      </c>
      <c r="G13" s="325">
        <f>INDEX(MEMÓRIA!L:L,MATCH($A13,MEMÓRIA!A:A,0))</f>
        <v>6</v>
      </c>
      <c r="H13" s="325">
        <v>658.59</v>
      </c>
      <c r="I13" s="183">
        <f t="shared" si="2"/>
        <v>0.1109</v>
      </c>
      <c r="J13" s="326">
        <f t="shared" si="3"/>
        <v>731.62</v>
      </c>
      <c r="K13" s="327">
        <f t="shared" si="4"/>
        <v>4389.72</v>
      </c>
      <c r="L13" s="328">
        <f t="shared" si="5"/>
        <v>5.7288357524171846E-4</v>
      </c>
      <c r="M13" s="185"/>
      <c r="O13" s="95" t="str">
        <f t="shared" si="0"/>
        <v>MATERIAL</v>
      </c>
    </row>
    <row r="14" spans="1:15" s="61" customFormat="1" ht="30">
      <c r="A14" s="184" t="s">
        <v>439</v>
      </c>
      <c r="B14" s="320" t="str">
        <f t="shared" si="1"/>
        <v>1.1.5</v>
      </c>
      <c r="C14" s="321">
        <v>10779</v>
      </c>
      <c r="D14" s="322" t="s">
        <v>5</v>
      </c>
      <c r="E14" s="282" t="s">
        <v>26</v>
      </c>
      <c r="F14" s="532" t="s">
        <v>120</v>
      </c>
      <c r="G14" s="325">
        <f>INDEX(MEMÓRIA!L:L,MATCH($A14,MEMÓRIA!A:A,0))</f>
        <v>6</v>
      </c>
      <c r="H14" s="325">
        <v>1053.75</v>
      </c>
      <c r="I14" s="183">
        <f t="shared" si="2"/>
        <v>0.1109</v>
      </c>
      <c r="J14" s="326">
        <f t="shared" si="3"/>
        <v>1170.6099999999999</v>
      </c>
      <c r="K14" s="327">
        <f t="shared" si="4"/>
        <v>7023.66</v>
      </c>
      <c r="L14" s="328">
        <f t="shared" si="5"/>
        <v>9.166278150046581E-4</v>
      </c>
      <c r="M14" s="185"/>
      <c r="O14" s="95" t="str">
        <f t="shared" si="0"/>
        <v>MATERIAL</v>
      </c>
    </row>
    <row r="15" spans="1:15" s="78" customFormat="1" ht="30" customHeight="1">
      <c r="A15" s="184" t="s">
        <v>440</v>
      </c>
      <c r="B15" s="320" t="str">
        <f t="shared" si="1"/>
        <v>1.1.6</v>
      </c>
      <c r="C15" s="321">
        <v>83635</v>
      </c>
      <c r="D15" s="322" t="s">
        <v>5</v>
      </c>
      <c r="E15" s="282" t="s">
        <v>146</v>
      </c>
      <c r="F15" s="532" t="s">
        <v>21</v>
      </c>
      <c r="G15" s="325">
        <f>INDEX(MEMÓRIA!L:L,MATCH($A15,MEMÓRIA!A:A,0))</f>
        <v>1</v>
      </c>
      <c r="H15" s="325">
        <v>273.89</v>
      </c>
      <c r="I15" s="183">
        <f t="shared" si="2"/>
        <v>0.1109</v>
      </c>
      <c r="J15" s="326">
        <f t="shared" si="3"/>
        <v>304.26</v>
      </c>
      <c r="K15" s="327">
        <f t="shared" si="4"/>
        <v>304.26</v>
      </c>
      <c r="L15" s="328">
        <f t="shared" si="5"/>
        <v>3.9707670786074111E-5</v>
      </c>
      <c r="M15" s="185"/>
      <c r="O15" s="95" t="str">
        <f>IF(I15=$I$6,"MATERIAL",IF(I15=$I$5,"SERVIÇOS"," "))</f>
        <v>MATERIAL</v>
      </c>
    </row>
    <row r="16" spans="1:15" s="66" customFormat="1" ht="30" customHeight="1">
      <c r="A16" s="182">
        <v>2</v>
      </c>
      <c r="B16" s="242">
        <f t="shared" si="1"/>
        <v>2</v>
      </c>
      <c r="C16" s="243"/>
      <c r="D16" s="244"/>
      <c r="E16" s="245" t="s">
        <v>137</v>
      </c>
      <c r="F16" s="244"/>
      <c r="G16" s="246"/>
      <c r="H16" s="246"/>
      <c r="I16" s="251">
        <f>$I$5</f>
        <v>0.24929999999999999</v>
      </c>
      <c r="J16" s="246"/>
      <c r="K16" s="248">
        <f>MEMÓRIA!L33</f>
        <v>89977.34</v>
      </c>
      <c r="L16" s="249">
        <f t="shared" si="5"/>
        <v>1.1742557664256416E-2</v>
      </c>
      <c r="M16" s="250"/>
      <c r="O16" s="95" t="str">
        <f t="shared" si="0"/>
        <v>SERVIÇOS</v>
      </c>
    </row>
    <row r="17" spans="1:15" s="71" customFormat="1" ht="30" customHeight="1">
      <c r="A17" s="182">
        <v>3</v>
      </c>
      <c r="B17" s="242">
        <f t="shared" si="1"/>
        <v>3</v>
      </c>
      <c r="C17" s="243"/>
      <c r="D17" s="244"/>
      <c r="E17" s="245" t="s">
        <v>138</v>
      </c>
      <c r="F17" s="244"/>
      <c r="G17" s="246"/>
      <c r="H17" s="246"/>
      <c r="I17" s="251">
        <f>$I$5</f>
        <v>0.24929999999999999</v>
      </c>
      <c r="J17" s="246"/>
      <c r="K17" s="248">
        <f>MEMÓRIA!L52</f>
        <v>89977.34</v>
      </c>
      <c r="L17" s="249">
        <f t="shared" si="5"/>
        <v>1.1742557664256416E-2</v>
      </c>
      <c r="M17" s="250"/>
      <c r="O17" s="95" t="str">
        <f t="shared" si="0"/>
        <v>SERVIÇOS</v>
      </c>
    </row>
    <row r="18" spans="1:15" ht="30" customHeight="1">
      <c r="A18" s="182">
        <v>4</v>
      </c>
      <c r="B18" s="242">
        <f t="shared" si="1"/>
        <v>4</v>
      </c>
      <c r="C18" s="243"/>
      <c r="D18" s="244"/>
      <c r="E18" s="245" t="s">
        <v>55</v>
      </c>
      <c r="F18" s="244"/>
      <c r="G18" s="246"/>
      <c r="H18" s="246"/>
      <c r="I18" s="251"/>
      <c r="J18" s="246"/>
      <c r="K18" s="248">
        <f>SUBTOTAL(109,K19:K27)</f>
        <v>583449.66</v>
      </c>
      <c r="L18" s="249">
        <f>SUBTOTAL(109,L19:L27)</f>
        <v>7.6143518765289117E-2</v>
      </c>
      <c r="M18" s="250"/>
      <c r="O18" s="95" t="str">
        <f t="shared" si="0"/>
        <v xml:space="preserve"> </v>
      </c>
    </row>
    <row r="19" spans="1:15" ht="30" customHeight="1">
      <c r="A19" s="184" t="s">
        <v>438</v>
      </c>
      <c r="B19" s="320" t="str">
        <f t="shared" si="1"/>
        <v>4.1</v>
      </c>
      <c r="C19" s="321">
        <v>93567</v>
      </c>
      <c r="D19" s="322" t="s">
        <v>5</v>
      </c>
      <c r="E19" s="282" t="s">
        <v>32</v>
      </c>
      <c r="F19" s="532" t="s">
        <v>35</v>
      </c>
      <c r="G19" s="533">
        <f>INDEX(MEMÓRIA!L:L,MATCH($A19,MEMÓRIA!A:A,0))</f>
        <v>6</v>
      </c>
      <c r="H19" s="325">
        <v>22329.040000000001</v>
      </c>
      <c r="I19" s="183">
        <f t="shared" ref="I19:I27" si="6">$I$5</f>
        <v>0.24929999999999999</v>
      </c>
      <c r="J19" s="326">
        <f t="shared" ref="J19:J27" si="7">TRUNC(H19*(1+I19),2)</f>
        <v>27895.66</v>
      </c>
      <c r="K19" s="327">
        <f t="shared" ref="K19:K27" si="8">TRUNC(G19*J19,2)</f>
        <v>167373.96</v>
      </c>
      <c r="L19" s="328">
        <f t="shared" ref="L19:L27" si="9">K19/$K$196</f>
        <v>2.1843259389474581E-2</v>
      </c>
      <c r="M19" s="185"/>
      <c r="O19" s="95" t="str">
        <f t="shared" si="0"/>
        <v>SERVIÇOS</v>
      </c>
    </row>
    <row r="20" spans="1:15" ht="30" customHeight="1">
      <c r="A20" s="184" t="s">
        <v>441</v>
      </c>
      <c r="B20" s="320" t="str">
        <f t="shared" si="1"/>
        <v>4.2</v>
      </c>
      <c r="C20" s="321">
        <v>94295</v>
      </c>
      <c r="D20" s="322" t="s">
        <v>5</v>
      </c>
      <c r="E20" s="282" t="s">
        <v>33</v>
      </c>
      <c r="F20" s="532" t="s">
        <v>35</v>
      </c>
      <c r="G20" s="533">
        <f>INDEX(MEMÓRIA!L:L,MATCH($A20,MEMÓRIA!A:A,0))</f>
        <v>6</v>
      </c>
      <c r="H20" s="325">
        <v>10332</v>
      </c>
      <c r="I20" s="183">
        <f t="shared" si="6"/>
        <v>0.24929999999999999</v>
      </c>
      <c r="J20" s="326">
        <f t="shared" si="7"/>
        <v>12907.76</v>
      </c>
      <c r="K20" s="327">
        <f t="shared" si="8"/>
        <v>77446.559999999998</v>
      </c>
      <c r="L20" s="328">
        <f t="shared" si="9"/>
        <v>1.0107219180943717E-2</v>
      </c>
      <c r="M20" s="185"/>
      <c r="O20" s="95" t="str">
        <f t="shared" si="0"/>
        <v>SERVIÇOS</v>
      </c>
    </row>
    <row r="21" spans="1:15" ht="30" customHeight="1">
      <c r="A21" s="184" t="s">
        <v>442</v>
      </c>
      <c r="B21" s="320" t="str">
        <f t="shared" si="1"/>
        <v>4.3</v>
      </c>
      <c r="C21" s="321">
        <v>88326</v>
      </c>
      <c r="D21" s="322" t="s">
        <v>5</v>
      </c>
      <c r="E21" s="282" t="s">
        <v>30</v>
      </c>
      <c r="F21" s="532" t="s">
        <v>22</v>
      </c>
      <c r="G21" s="533">
        <f>INDEX(MEMÓRIA!L:L,MATCH($A21,MEMÓRIA!A:A,0))</f>
        <v>3960</v>
      </c>
      <c r="H21" s="325">
        <v>26.66</v>
      </c>
      <c r="I21" s="183">
        <f t="shared" si="6"/>
        <v>0.24929999999999999</v>
      </c>
      <c r="J21" s="326">
        <f t="shared" si="7"/>
        <v>33.299999999999997</v>
      </c>
      <c r="K21" s="327">
        <f t="shared" si="8"/>
        <v>131868</v>
      </c>
      <c r="L21" s="328">
        <f t="shared" si="9"/>
        <v>1.7209528466502401E-2</v>
      </c>
      <c r="M21" s="185"/>
      <c r="O21" s="95" t="str">
        <f t="shared" si="0"/>
        <v>SERVIÇOS</v>
      </c>
    </row>
    <row r="22" spans="1:15" ht="30" customHeight="1">
      <c r="A22" s="184" t="s">
        <v>443</v>
      </c>
      <c r="B22" s="320" t="str">
        <f t="shared" si="1"/>
        <v>4.4</v>
      </c>
      <c r="C22" s="321">
        <v>93563</v>
      </c>
      <c r="D22" s="322" t="s">
        <v>5</v>
      </c>
      <c r="E22" s="282" t="s">
        <v>31</v>
      </c>
      <c r="F22" s="532" t="s">
        <v>35</v>
      </c>
      <c r="G22" s="533">
        <f>INDEX(MEMÓRIA!L:L,MATCH($A22,MEMÓRIA!A:A,0))</f>
        <v>6</v>
      </c>
      <c r="H22" s="325">
        <v>3876.33</v>
      </c>
      <c r="I22" s="183">
        <f t="shared" si="6"/>
        <v>0.24929999999999999</v>
      </c>
      <c r="J22" s="326">
        <f t="shared" si="7"/>
        <v>4842.6899999999996</v>
      </c>
      <c r="K22" s="327">
        <f t="shared" si="8"/>
        <v>29056.14</v>
      </c>
      <c r="L22" s="328">
        <f t="shared" si="9"/>
        <v>3.7919925111223273E-3</v>
      </c>
      <c r="M22" s="185"/>
      <c r="O22" s="95" t="str">
        <f t="shared" si="0"/>
        <v>SERVIÇOS</v>
      </c>
    </row>
    <row r="23" spans="1:15" s="158" customFormat="1" ht="30" customHeight="1">
      <c r="A23" s="184" t="s">
        <v>444</v>
      </c>
      <c r="B23" s="320" t="str">
        <f t="shared" si="1"/>
        <v>4.5</v>
      </c>
      <c r="C23" s="321">
        <v>100321</v>
      </c>
      <c r="D23" s="322" t="s">
        <v>5</v>
      </c>
      <c r="E23" s="282" t="s">
        <v>36</v>
      </c>
      <c r="F23" s="532" t="s">
        <v>35</v>
      </c>
      <c r="G23" s="533">
        <f>INDEX(MEMÓRIA!L:L,MATCH($A23,MEMÓRIA!A:A,0))</f>
        <v>6</v>
      </c>
      <c r="H23" s="325">
        <v>4824.3599999999997</v>
      </c>
      <c r="I23" s="183">
        <f t="shared" si="6"/>
        <v>0.24929999999999999</v>
      </c>
      <c r="J23" s="326">
        <f t="shared" si="7"/>
        <v>6027.07</v>
      </c>
      <c r="K23" s="327">
        <f t="shared" si="8"/>
        <v>36162.42</v>
      </c>
      <c r="L23" s="328">
        <f t="shared" si="9"/>
        <v>4.7194027088271282E-3</v>
      </c>
      <c r="M23" s="185"/>
      <c r="O23" s="95" t="str">
        <f t="shared" ref="O23:O28" si="10">IF(I23=$I$6,"MATERIAL",IF(I23=$I$5,"SERVIÇOS"," "))</f>
        <v>SERVIÇOS</v>
      </c>
    </row>
    <row r="24" spans="1:15" s="158" customFormat="1" ht="30" customHeight="1">
      <c r="A24" s="184" t="s">
        <v>445</v>
      </c>
      <c r="B24" s="320" t="str">
        <f t="shared" si="1"/>
        <v>4.6</v>
      </c>
      <c r="C24" s="321">
        <v>94296</v>
      </c>
      <c r="D24" s="322" t="s">
        <v>5</v>
      </c>
      <c r="E24" s="282" t="s">
        <v>34</v>
      </c>
      <c r="F24" s="532" t="s">
        <v>35</v>
      </c>
      <c r="G24" s="533">
        <f>INDEX(MEMÓRIA!L:L,MATCH($A24,MEMÓRIA!A:A,0))</f>
        <v>6</v>
      </c>
      <c r="H24" s="325">
        <v>5235.72</v>
      </c>
      <c r="I24" s="183">
        <f t="shared" si="6"/>
        <v>0.24929999999999999</v>
      </c>
      <c r="J24" s="326">
        <f t="shared" si="7"/>
        <v>6540.98</v>
      </c>
      <c r="K24" s="327">
        <f t="shared" si="8"/>
        <v>39245.879999999997</v>
      </c>
      <c r="L24" s="328">
        <f t="shared" si="9"/>
        <v>5.1218118804633207E-3</v>
      </c>
      <c r="M24" s="185"/>
      <c r="O24" s="95" t="str">
        <f t="shared" si="10"/>
        <v>SERVIÇOS</v>
      </c>
    </row>
    <row r="25" spans="1:15" s="158" customFormat="1" ht="30" customHeight="1">
      <c r="A25" s="184" t="s">
        <v>446</v>
      </c>
      <c r="B25" s="320" t="str">
        <f t="shared" si="1"/>
        <v>4.7</v>
      </c>
      <c r="C25" s="321">
        <v>101389</v>
      </c>
      <c r="D25" s="322" t="s">
        <v>5</v>
      </c>
      <c r="E25" s="282" t="s">
        <v>29</v>
      </c>
      <c r="F25" s="532" t="s">
        <v>35</v>
      </c>
      <c r="G25" s="533">
        <f>INDEX(MEMÓRIA!L:L,MATCH($A25,MEMÓRIA!A:A,0))</f>
        <v>12</v>
      </c>
      <c r="H25" s="325">
        <v>2552.8000000000002</v>
      </c>
      <c r="I25" s="183">
        <f t="shared" si="6"/>
        <v>0.24929999999999999</v>
      </c>
      <c r="J25" s="326">
        <f t="shared" si="7"/>
        <v>3189.21</v>
      </c>
      <c r="K25" s="327">
        <f t="shared" si="8"/>
        <v>38270.519999999997</v>
      </c>
      <c r="L25" s="328">
        <f t="shared" si="9"/>
        <v>4.9945218200613452E-3</v>
      </c>
      <c r="M25" s="185"/>
      <c r="O25" s="95" t="str">
        <f t="shared" si="10"/>
        <v>SERVIÇOS</v>
      </c>
    </row>
    <row r="26" spans="1:15" s="158" customFormat="1" ht="30" customHeight="1">
      <c r="A26" s="184" t="s">
        <v>447</v>
      </c>
      <c r="B26" s="320" t="str">
        <f t="shared" si="1"/>
        <v>4.8</v>
      </c>
      <c r="C26" s="321">
        <v>101456</v>
      </c>
      <c r="D26" s="322" t="s">
        <v>5</v>
      </c>
      <c r="E26" s="282" t="s">
        <v>38</v>
      </c>
      <c r="F26" s="532" t="s">
        <v>35</v>
      </c>
      <c r="G26" s="533">
        <f>INDEX(MEMÓRIA!L:L,MATCH($A26,MEMÓRIA!A:A,0))</f>
        <v>6</v>
      </c>
      <c r="H26" s="325">
        <v>4998.66</v>
      </c>
      <c r="I26" s="183">
        <f t="shared" si="6"/>
        <v>0.24929999999999999</v>
      </c>
      <c r="J26" s="326">
        <f t="shared" si="7"/>
        <v>6244.82</v>
      </c>
      <c r="K26" s="327">
        <f t="shared" si="8"/>
        <v>37468.92</v>
      </c>
      <c r="L26" s="328">
        <f t="shared" si="9"/>
        <v>4.8899084338057839E-3</v>
      </c>
      <c r="M26" s="185"/>
      <c r="O26" s="95" t="str">
        <f t="shared" si="10"/>
        <v>SERVIÇOS</v>
      </c>
    </row>
    <row r="27" spans="1:15" s="158" customFormat="1" ht="30" customHeight="1">
      <c r="A27" s="184" t="s">
        <v>448</v>
      </c>
      <c r="B27" s="320" t="str">
        <f t="shared" si="1"/>
        <v>4.9</v>
      </c>
      <c r="C27" s="321">
        <v>101385</v>
      </c>
      <c r="D27" s="322" t="s">
        <v>5</v>
      </c>
      <c r="E27" s="282" t="s">
        <v>37</v>
      </c>
      <c r="F27" s="532" t="s">
        <v>35</v>
      </c>
      <c r="G27" s="533">
        <f>INDEX(MEMÓRIA!L:L,MATCH($A27,MEMÓRIA!A:A,0))</f>
        <v>6</v>
      </c>
      <c r="H27" s="325">
        <v>3542.96</v>
      </c>
      <c r="I27" s="183">
        <f t="shared" si="6"/>
        <v>0.24929999999999999</v>
      </c>
      <c r="J27" s="326">
        <f t="shared" si="7"/>
        <v>4426.21</v>
      </c>
      <c r="K27" s="327">
        <f t="shared" si="8"/>
        <v>26557.26</v>
      </c>
      <c r="L27" s="328">
        <f t="shared" si="9"/>
        <v>3.4658743740885243E-3</v>
      </c>
      <c r="M27" s="185"/>
      <c r="O27" s="95" t="str">
        <f t="shared" si="10"/>
        <v>SERVIÇOS</v>
      </c>
    </row>
    <row r="28" spans="1:15" s="158" customFormat="1" ht="30" customHeight="1">
      <c r="A28" s="182">
        <v>5</v>
      </c>
      <c r="B28" s="105">
        <f t="shared" si="1"/>
        <v>5</v>
      </c>
      <c r="C28" s="113"/>
      <c r="D28" s="73"/>
      <c r="E28" s="74" t="s">
        <v>577</v>
      </c>
      <c r="F28" s="73"/>
      <c r="G28" s="75"/>
      <c r="H28" s="75"/>
      <c r="I28" s="240"/>
      <c r="J28" s="75"/>
      <c r="K28" s="76">
        <f>SUBTOTAL(109,K29:K84)</f>
        <v>1575484.4699999997</v>
      </c>
      <c r="L28" s="77">
        <f>SUBTOTAL(109,L29:L84)</f>
        <v>0.20560973727513465</v>
      </c>
      <c r="M28" s="241"/>
      <c r="O28" s="95" t="str">
        <f t="shared" si="10"/>
        <v xml:space="preserve"> </v>
      </c>
    </row>
    <row r="29" spans="1:15" s="71" customFormat="1" ht="30" customHeight="1">
      <c r="A29" s="182" t="s">
        <v>425</v>
      </c>
      <c r="B29" s="242" t="str">
        <f t="shared" si="1"/>
        <v>5.1</v>
      </c>
      <c r="C29" s="243"/>
      <c r="D29" s="244"/>
      <c r="E29" s="245" t="s">
        <v>255</v>
      </c>
      <c r="F29" s="244"/>
      <c r="G29" s="246"/>
      <c r="H29" s="246"/>
      <c r="I29" s="247"/>
      <c r="J29" s="246"/>
      <c r="K29" s="248">
        <f>SUBTOTAL(109,K30:K33)</f>
        <v>291294.96000000002</v>
      </c>
      <c r="L29" s="249">
        <f>SUBTOTAL(109,L30:L33)</f>
        <v>3.8015658888196371E-2</v>
      </c>
      <c r="M29" s="250"/>
      <c r="O29" s="95" t="str">
        <f t="shared" si="0"/>
        <v xml:space="preserve"> </v>
      </c>
    </row>
    <row r="30" spans="1:15" s="72" customFormat="1" ht="30" customHeight="1">
      <c r="A30" s="184" t="s">
        <v>449</v>
      </c>
      <c r="B30" s="320" t="str">
        <f t="shared" si="1"/>
        <v>5.1.1</v>
      </c>
      <c r="C30" s="321">
        <v>1600436</v>
      </c>
      <c r="D30" s="322" t="s">
        <v>9</v>
      </c>
      <c r="E30" s="319" t="s">
        <v>144</v>
      </c>
      <c r="F30" s="324" t="s">
        <v>265</v>
      </c>
      <c r="G30" s="329">
        <f>IF(F30&lt;&gt;"tkm.",INDEX(MEMÓRIA!L:L,MATCH($A30,MEMÓRIA!A:A,0)),INDEX(TRANSPORTES!L:L,MATCH($A30,TRANSPORTES!A:A,0)))</f>
        <v>574.21</v>
      </c>
      <c r="H30" s="329">
        <v>387.72</v>
      </c>
      <c r="I30" s="183">
        <f>$I$5</f>
        <v>0.24929999999999999</v>
      </c>
      <c r="J30" s="326">
        <f>TRUNC(H30*(1+I30),2)</f>
        <v>484.37</v>
      </c>
      <c r="K30" s="327">
        <f>TRUNC(G30*J30,2)</f>
        <v>278130.09000000003</v>
      </c>
      <c r="L30" s="328">
        <f>K30/$K$196</f>
        <v>3.629756803201592E-2</v>
      </c>
      <c r="M30" s="186"/>
      <c r="O30" s="95" t="str">
        <f t="shared" si="0"/>
        <v>SERVIÇOS</v>
      </c>
    </row>
    <row r="31" spans="1:15" s="158" customFormat="1" ht="45" customHeight="1">
      <c r="A31" s="184" t="s">
        <v>450</v>
      </c>
      <c r="B31" s="320" t="str">
        <f t="shared" si="1"/>
        <v>5.1.2</v>
      </c>
      <c r="C31" s="321">
        <v>5914675</v>
      </c>
      <c r="D31" s="322" t="s">
        <v>9</v>
      </c>
      <c r="E31" s="319" t="s">
        <v>257</v>
      </c>
      <c r="F31" s="324" t="s">
        <v>12</v>
      </c>
      <c r="G31" s="329">
        <f>IF(F31&lt;&gt;"tkm.",INDEX(MEMÓRIA!L:L,MATCH($A31,MEMÓRIA!A:A,0)),INDEX(TRANSPORTES!L:L,MATCH($A31,TRANSPORTES!A:A,0)))</f>
        <v>1378.1</v>
      </c>
      <c r="H31" s="329">
        <v>3.02</v>
      </c>
      <c r="I31" s="183">
        <f>$I$5</f>
        <v>0.24929999999999999</v>
      </c>
      <c r="J31" s="326">
        <f>TRUNC(H31*(1+I31),2)</f>
        <v>3.77</v>
      </c>
      <c r="K31" s="327">
        <f>TRUNC(G31*J31,2)</f>
        <v>5195.43</v>
      </c>
      <c r="L31" s="328">
        <f>K31/$K$196</f>
        <v>6.7803334001213767E-4</v>
      </c>
      <c r="M31" s="185"/>
      <c r="O31" s="95" t="str">
        <f>IF(I31=$I$6,"MATERIAL",IF(I31=$I$5,"SERVIÇOS"," "))</f>
        <v>SERVIÇOS</v>
      </c>
    </row>
    <row r="32" spans="1:15" s="158" customFormat="1" ht="30" customHeight="1">
      <c r="A32" s="184" t="s">
        <v>451</v>
      </c>
      <c r="B32" s="320" t="str">
        <f t="shared" si="1"/>
        <v>5.1.3</v>
      </c>
      <c r="C32" s="321">
        <v>4413942</v>
      </c>
      <c r="D32" s="322" t="s">
        <v>9</v>
      </c>
      <c r="E32" s="319" t="s">
        <v>256</v>
      </c>
      <c r="F32" s="324" t="s">
        <v>265</v>
      </c>
      <c r="G32" s="329">
        <f>IF(F32&lt;&gt;"tkm.",INDEX(MEMÓRIA!L:L,MATCH($A32,MEMÓRIA!A:A,0)),INDEX(TRANSPORTES!L:L,MATCH($A32,TRANSPORTES!A:A,0)))</f>
        <v>746.47</v>
      </c>
      <c r="H32" s="329">
        <v>1.5</v>
      </c>
      <c r="I32" s="183">
        <f>$I$5</f>
        <v>0.24929999999999999</v>
      </c>
      <c r="J32" s="326">
        <f>TRUNC(H32*(1+I32),2)</f>
        <v>1.87</v>
      </c>
      <c r="K32" s="327">
        <f>TRUNC(G32*J32,2)</f>
        <v>1395.89</v>
      </c>
      <c r="L32" s="328">
        <f>K32/$K$196</f>
        <v>1.8217163141251888E-4</v>
      </c>
      <c r="M32" s="185"/>
      <c r="O32" s="95" t="str">
        <f>IF(I32=$I$6,"MATERIAL",IF(I32=$I$5,"SERVIÇOS"," "))</f>
        <v>SERVIÇOS</v>
      </c>
    </row>
    <row r="33" spans="1:15" s="158" customFormat="1" ht="30" customHeight="1">
      <c r="A33" s="184" t="s">
        <v>452</v>
      </c>
      <c r="B33" s="320" t="str">
        <f t="shared" si="1"/>
        <v>5.1.4</v>
      </c>
      <c r="C33" s="321">
        <v>5914314</v>
      </c>
      <c r="D33" s="322" t="s">
        <v>9</v>
      </c>
      <c r="E33" s="319" t="s">
        <v>366</v>
      </c>
      <c r="F33" s="324" t="s">
        <v>367</v>
      </c>
      <c r="G33" s="329">
        <f>IF(F33&lt;&gt;"tkm.",INDEX(MEMÓRIA!L:L,MATCH($A33,MEMÓRIA!A:A,0)),INDEX(TRANSPORTES!L:L,MATCH($A33,TRANSPORTES!A:A,0)))</f>
        <v>4134.3100000000004</v>
      </c>
      <c r="H33" s="329">
        <v>1.28</v>
      </c>
      <c r="I33" s="183">
        <f>$I$5</f>
        <v>0.24929999999999999</v>
      </c>
      <c r="J33" s="326">
        <f>TRUNC(H33*(1+I33),2)</f>
        <v>1.59</v>
      </c>
      <c r="K33" s="327">
        <f>TRUNC(G33*J33,2)</f>
        <v>6573.55</v>
      </c>
      <c r="L33" s="328">
        <f>K33/$K$196</f>
        <v>8.5788588475579268E-4</v>
      </c>
      <c r="M33" s="185"/>
      <c r="O33" s="95" t="str">
        <f>IF(I33=$I$6,"MATERIAL",IF(I33=$I$5,"SERVIÇOS"," "))</f>
        <v>SERVIÇOS</v>
      </c>
    </row>
    <row r="34" spans="1:15" s="158" customFormat="1" ht="30" customHeight="1">
      <c r="A34" s="182" t="s">
        <v>426</v>
      </c>
      <c r="B34" s="242" t="str">
        <f t="shared" si="1"/>
        <v>5.2</v>
      </c>
      <c r="C34" s="243"/>
      <c r="D34" s="244"/>
      <c r="E34" s="245" t="s">
        <v>264</v>
      </c>
      <c r="F34" s="244"/>
      <c r="G34" s="246"/>
      <c r="H34" s="246"/>
      <c r="I34" s="247"/>
      <c r="J34" s="246"/>
      <c r="K34" s="248">
        <f>SUBTOTAL(109,K35:K39)</f>
        <v>157987.01</v>
      </c>
      <c r="L34" s="249">
        <f>SUBTOTAL(109,L35:L39)</f>
        <v>2.0618208708197586E-2</v>
      </c>
      <c r="M34" s="250"/>
      <c r="O34" s="95" t="str">
        <f>IF(I34=$I$6,"MATERIAL",IF(I34=$I$5,"SERVIÇOS"," "))</f>
        <v xml:space="preserve"> </v>
      </c>
    </row>
    <row r="35" spans="1:15" s="72" customFormat="1" ht="60" customHeight="1">
      <c r="A35" s="184" t="s">
        <v>453</v>
      </c>
      <c r="B35" s="320" t="str">
        <f t="shared" si="1"/>
        <v>5.2.1</v>
      </c>
      <c r="C35" s="321">
        <v>5502834</v>
      </c>
      <c r="D35" s="322" t="s">
        <v>9</v>
      </c>
      <c r="E35" s="330" t="s">
        <v>321</v>
      </c>
      <c r="F35" s="324" t="s">
        <v>265</v>
      </c>
      <c r="G35" s="325">
        <f>IF(F35&lt;&gt;"tkm.",INDEX(MEMÓRIA!L:L,MATCH($A35,MEMÓRIA!A:A,0)),INDEX(TRANSPORTES!L:L,MATCH($A35,TRANSPORTES!A:A,0)))</f>
        <v>8130.76</v>
      </c>
      <c r="H35" s="325">
        <v>11.51</v>
      </c>
      <c r="I35" s="183">
        <f t="shared" ref="I35:I84" si="11">$I$5</f>
        <v>0.24929999999999999</v>
      </c>
      <c r="J35" s="326">
        <f>TRUNC(H35*(1+I35),2)</f>
        <v>14.37</v>
      </c>
      <c r="K35" s="327">
        <f>TRUNC(G35*J35,2)</f>
        <v>116839.02</v>
      </c>
      <c r="L35" s="328">
        <f>K35/$K$196</f>
        <v>1.5248160590046436E-2</v>
      </c>
      <c r="M35" s="185"/>
      <c r="O35" s="95" t="str">
        <f t="shared" si="0"/>
        <v>SERVIÇOS</v>
      </c>
    </row>
    <row r="36" spans="1:15" s="158" customFormat="1" ht="30" customHeight="1">
      <c r="A36" s="184" t="s">
        <v>454</v>
      </c>
      <c r="B36" s="320" t="str">
        <f t="shared" si="1"/>
        <v>5.2.2</v>
      </c>
      <c r="C36" s="321">
        <v>4413942</v>
      </c>
      <c r="D36" s="322" t="s">
        <v>9</v>
      </c>
      <c r="E36" s="319" t="s">
        <v>256</v>
      </c>
      <c r="F36" s="324" t="s">
        <v>4</v>
      </c>
      <c r="G36" s="325">
        <f>IF(F36&lt;&gt;"tkm.",INDEX(MEMÓRIA!L:L,MATCH($A36,MEMÓRIA!A:A,0)),INDEX(TRANSPORTES!L:L,MATCH($A36,TRANSPORTES!A:A,0)))</f>
        <v>5479.1</v>
      </c>
      <c r="H36" s="325">
        <v>1.5</v>
      </c>
      <c r="I36" s="183">
        <f t="shared" si="11"/>
        <v>0.24929999999999999</v>
      </c>
      <c r="J36" s="326">
        <f>TRUNC(H36*(1+I36),2)</f>
        <v>1.87</v>
      </c>
      <c r="K36" s="327">
        <f>TRUNC(G36*J36,2)</f>
        <v>10245.91</v>
      </c>
      <c r="L36" s="328">
        <f>K36/$K$196</f>
        <v>1.3371498757107231E-3</v>
      </c>
      <c r="M36" s="185"/>
      <c r="O36" s="95" t="str">
        <f>IF(I36=$I$6,"MATERIAL",IF(I36=$I$5,"SERVIÇOS"," "))</f>
        <v>SERVIÇOS</v>
      </c>
    </row>
    <row r="37" spans="1:15" s="158" customFormat="1" ht="30" customHeight="1">
      <c r="A37" s="184" t="s">
        <v>455</v>
      </c>
      <c r="B37" s="320" t="str">
        <f t="shared" si="1"/>
        <v>5.2.3</v>
      </c>
      <c r="C37" s="321">
        <v>5502978</v>
      </c>
      <c r="D37" s="322" t="s">
        <v>9</v>
      </c>
      <c r="E37" s="319" t="s">
        <v>270</v>
      </c>
      <c r="F37" s="324" t="s">
        <v>265</v>
      </c>
      <c r="G37" s="325">
        <f>IF(F37&lt;&gt;"tkm.",INDEX(MEMÓRIA!L:L,MATCH($A37,MEMÓRIA!A:A,0)),INDEX(TRANSPORTES!L:L,MATCH($A37,TRANSPORTES!A:A,0)))</f>
        <v>4684.3500000000004</v>
      </c>
      <c r="H37" s="325">
        <v>4.6900000000000004</v>
      </c>
      <c r="I37" s="183">
        <f t="shared" si="11"/>
        <v>0.24929999999999999</v>
      </c>
      <c r="J37" s="326">
        <f>TRUNC(H37*(1+I37),2)</f>
        <v>5.85</v>
      </c>
      <c r="K37" s="327">
        <f>TRUNC(G37*J37,2)</f>
        <v>27403.439999999999</v>
      </c>
      <c r="L37" s="328">
        <f>K37/$K$196</f>
        <v>3.5763057054030586E-3</v>
      </c>
      <c r="M37" s="185"/>
      <c r="O37" s="95" t="str">
        <f>IF(I37=$I$6,"MATERIAL",IF(I37=$I$5,"SERVIÇOS"," "))</f>
        <v>SERVIÇOS</v>
      </c>
    </row>
    <row r="38" spans="1:15" s="158" customFormat="1" ht="30">
      <c r="A38" s="184" t="s">
        <v>456</v>
      </c>
      <c r="B38" s="320" t="str">
        <f t="shared" si="1"/>
        <v>5.2.4</v>
      </c>
      <c r="C38" s="321">
        <v>4413986</v>
      </c>
      <c r="D38" s="322" t="s">
        <v>9</v>
      </c>
      <c r="E38" s="319" t="s">
        <v>271</v>
      </c>
      <c r="F38" s="324" t="s">
        <v>159</v>
      </c>
      <c r="G38" s="325">
        <f>IF(F38&lt;&gt;"tkm.",INDEX(MEMÓRIA!L:L,MATCH($A38,MEMÓRIA!A:A,0)),INDEX(TRANSPORTES!L:L,MATCH($A38,TRANSPORTES!A:A,0)))</f>
        <v>6358</v>
      </c>
      <c r="H38" s="325">
        <v>7.0000000000000007E-2</v>
      </c>
      <c r="I38" s="183">
        <f t="shared" si="11"/>
        <v>0.24929999999999999</v>
      </c>
      <c r="J38" s="326">
        <f>TRUNC(H38*(1+I38),2)</f>
        <v>0.08</v>
      </c>
      <c r="K38" s="327">
        <f>TRUNC(G38*J38,2)</f>
        <v>508.64</v>
      </c>
      <c r="L38" s="328">
        <f>K38/$K$196</f>
        <v>6.6380430121043625E-5</v>
      </c>
      <c r="M38" s="185"/>
      <c r="O38" s="95" t="str">
        <f t="shared" ref="O38:O65" si="12">IF(I38=$I$6,"MATERIAL",IF(I38=$I$5,"SERVIÇOS"," "))</f>
        <v>SERVIÇOS</v>
      </c>
    </row>
    <row r="39" spans="1:15" s="158" customFormat="1" ht="30" customHeight="1">
      <c r="A39" s="184" t="s">
        <v>457</v>
      </c>
      <c r="B39" s="320" t="str">
        <f t="shared" si="1"/>
        <v>5.2.5</v>
      </c>
      <c r="C39" s="321">
        <v>5502986</v>
      </c>
      <c r="D39" s="322" t="s">
        <v>9</v>
      </c>
      <c r="E39" s="330" t="s">
        <v>640</v>
      </c>
      <c r="F39" s="324" t="s">
        <v>265</v>
      </c>
      <c r="G39" s="325">
        <f>IF(F39&lt;&gt;"tkm.",INDEX(MEMÓRIA!L:L,MATCH($A39,MEMÓRIA!A:A,0)),INDEX(TRANSPORTES!L:L,MATCH($A39,TRANSPORTES!A:A,0)))</f>
        <v>1000</v>
      </c>
      <c r="H39" s="325">
        <v>2.4</v>
      </c>
      <c r="I39" s="183">
        <f t="shared" si="11"/>
        <v>0.24929999999999999</v>
      </c>
      <c r="J39" s="326">
        <f>TRUNC(H39*(1+I39),2)</f>
        <v>2.99</v>
      </c>
      <c r="K39" s="327">
        <f>TRUNC(G39*J39,2)</f>
        <v>2990</v>
      </c>
      <c r="L39" s="328">
        <f>K39/$K$196</f>
        <v>3.9021210691632678E-4</v>
      </c>
      <c r="M39" s="185"/>
      <c r="O39" s="95" t="str">
        <f>IF(I39=$I$6,"MATERIAL",IF(I39=$I$5,"SERVIÇOS"," "))</f>
        <v>SERVIÇOS</v>
      </c>
    </row>
    <row r="40" spans="1:15" s="158" customFormat="1" ht="30" customHeight="1">
      <c r="A40" s="182" t="s">
        <v>427</v>
      </c>
      <c r="B40" s="242" t="str">
        <f t="shared" si="1"/>
        <v>5.3</v>
      </c>
      <c r="C40" s="243"/>
      <c r="D40" s="244"/>
      <c r="E40" s="245" t="s">
        <v>572</v>
      </c>
      <c r="F40" s="244"/>
      <c r="G40" s="246"/>
      <c r="H40" s="246"/>
      <c r="I40" s="247"/>
      <c r="J40" s="246"/>
      <c r="K40" s="248">
        <f>SUBTOTAL(109,K41:K63)</f>
        <v>287221.40000000002</v>
      </c>
      <c r="L40" s="249">
        <f>SUBTOTAL(109,L41:L63)</f>
        <v>3.7484036001825094E-2</v>
      </c>
      <c r="M40" s="250"/>
      <c r="O40" s="95" t="str">
        <f t="shared" si="12"/>
        <v xml:space="preserve"> </v>
      </c>
    </row>
    <row r="41" spans="1:15" s="158" customFormat="1" ht="30" customHeight="1">
      <c r="A41" s="184" t="s">
        <v>458</v>
      </c>
      <c r="B41" s="320" t="str">
        <f t="shared" si="1"/>
        <v>5.3.1</v>
      </c>
      <c r="C41" s="321">
        <v>4805749</v>
      </c>
      <c r="D41" s="322" t="s">
        <v>9</v>
      </c>
      <c r="E41" s="323" t="s">
        <v>158</v>
      </c>
      <c r="F41" s="324" t="s">
        <v>4</v>
      </c>
      <c r="G41" s="325">
        <f>IF(F41&lt;&gt;"tkm.",INDEX(MEMÓRIA!L:L,MATCH($A41,MEMÓRIA!A:A,0)),INDEX(TRANSPORTES!L:L,MATCH($A41,TRANSPORTES!A:A,0)))</f>
        <v>295.5</v>
      </c>
      <c r="H41" s="325">
        <v>70.19</v>
      </c>
      <c r="I41" s="183">
        <f t="shared" si="11"/>
        <v>0.24929999999999999</v>
      </c>
      <c r="J41" s="326">
        <f t="shared" ref="J41:J63" si="13">TRUNC(H41*(1+I41),2)</f>
        <v>87.68</v>
      </c>
      <c r="K41" s="327">
        <f t="shared" ref="K41:K63" si="14">TRUNC(G41*J41,2)</f>
        <v>25909.439999999999</v>
      </c>
      <c r="L41" s="328">
        <f t="shared" ref="L41:L63" si="15">K41/$K$196</f>
        <v>3.3813301576662721E-3</v>
      </c>
      <c r="M41" s="185"/>
      <c r="O41" s="95" t="str">
        <f t="shared" si="12"/>
        <v>SERVIÇOS</v>
      </c>
    </row>
    <row r="42" spans="1:15" s="158" customFormat="1" ht="45" customHeight="1">
      <c r="A42" s="184" t="s">
        <v>459</v>
      </c>
      <c r="B42" s="320" t="str">
        <f t="shared" ref="B42:B59" si="16">A42</f>
        <v>5.3.2</v>
      </c>
      <c r="C42" s="321">
        <v>5914675</v>
      </c>
      <c r="D42" s="322" t="s">
        <v>9</v>
      </c>
      <c r="E42" s="323" t="s">
        <v>257</v>
      </c>
      <c r="F42" s="324" t="s">
        <v>12</v>
      </c>
      <c r="G42" s="325">
        <f>IF(F42&lt;&gt;"tkm.",INDEX(MEMÓRIA!L:L,MATCH($A42,MEMÓRIA!A:A,0)),INDEX(TRANSPORTES!L:L,MATCH($A42,TRANSPORTES!A:A,0)))</f>
        <v>531.9</v>
      </c>
      <c r="H42" s="325">
        <v>3.02</v>
      </c>
      <c r="I42" s="183">
        <f>$I$5</f>
        <v>0.24929999999999999</v>
      </c>
      <c r="J42" s="326">
        <f t="shared" si="13"/>
        <v>3.77</v>
      </c>
      <c r="K42" s="327">
        <f t="shared" si="14"/>
        <v>2005.26</v>
      </c>
      <c r="L42" s="328">
        <f t="shared" si="15"/>
        <v>2.6169790284783726E-4</v>
      </c>
      <c r="M42" s="185"/>
      <c r="O42" s="95" t="str">
        <f t="shared" si="12"/>
        <v>SERVIÇOS</v>
      </c>
    </row>
    <row r="43" spans="1:15" s="158" customFormat="1" ht="30" customHeight="1">
      <c r="A43" s="184" t="s">
        <v>460</v>
      </c>
      <c r="B43" s="320" t="str">
        <f t="shared" si="16"/>
        <v>5.3.3</v>
      </c>
      <c r="C43" s="321">
        <v>5914314</v>
      </c>
      <c r="D43" s="322" t="s">
        <v>9</v>
      </c>
      <c r="E43" s="323" t="s">
        <v>322</v>
      </c>
      <c r="F43" s="324" t="s">
        <v>15</v>
      </c>
      <c r="G43" s="325">
        <f>IF(F43&lt;&gt;"tkm.",INDEX(MEMÓRIA!L:L,MATCH($A43,MEMÓRIA!A:A,0)),INDEX(TRANSPORTES!L:L,MATCH($A43,TRANSPORTES!A:A,0)))</f>
        <v>1595.7</v>
      </c>
      <c r="H43" s="325">
        <v>1.28</v>
      </c>
      <c r="I43" s="183">
        <f>$I$5</f>
        <v>0.24929999999999999</v>
      </c>
      <c r="J43" s="326">
        <f t="shared" si="13"/>
        <v>1.59</v>
      </c>
      <c r="K43" s="327">
        <f t="shared" si="14"/>
        <v>2537.16</v>
      </c>
      <c r="L43" s="328">
        <f t="shared" si="15"/>
        <v>3.3111389604810286E-4</v>
      </c>
      <c r="M43" s="185"/>
      <c r="O43" s="95" t="str">
        <f t="shared" si="12"/>
        <v>SERVIÇOS</v>
      </c>
    </row>
    <row r="44" spans="1:15" s="158" customFormat="1" ht="30" customHeight="1">
      <c r="A44" s="184" t="s">
        <v>461</v>
      </c>
      <c r="B44" s="320" t="str">
        <f t="shared" si="16"/>
        <v>5.3.4</v>
      </c>
      <c r="C44" s="321">
        <v>4413942</v>
      </c>
      <c r="D44" s="322" t="s">
        <v>9</v>
      </c>
      <c r="E44" s="323" t="s">
        <v>256</v>
      </c>
      <c r="F44" s="324" t="s">
        <v>265</v>
      </c>
      <c r="G44" s="325">
        <f>IF(F44&lt;&gt;"tkm.",INDEX(MEMÓRIA!L:L,MATCH($A44,MEMÓRIA!A:A,0)),INDEX(TRANSPORTES!L:L,MATCH($A44,TRANSPORTES!A:A,0)))</f>
        <v>369.38</v>
      </c>
      <c r="H44" s="325">
        <v>1.5</v>
      </c>
      <c r="I44" s="183">
        <f>$I$5</f>
        <v>0.24929999999999999</v>
      </c>
      <c r="J44" s="326">
        <f t="shared" si="13"/>
        <v>1.87</v>
      </c>
      <c r="K44" s="327">
        <f t="shared" si="14"/>
        <v>690.74</v>
      </c>
      <c r="L44" s="328">
        <f t="shared" si="15"/>
        <v>9.0145521983740328E-5</v>
      </c>
      <c r="M44" s="185"/>
      <c r="O44" s="95" t="str">
        <f t="shared" si="12"/>
        <v>SERVIÇOS</v>
      </c>
    </row>
    <row r="45" spans="1:15" s="158" customFormat="1" ht="45" customHeight="1">
      <c r="A45" s="184" t="s">
        <v>462</v>
      </c>
      <c r="B45" s="320" t="str">
        <f t="shared" si="16"/>
        <v>5.3.5</v>
      </c>
      <c r="C45" s="321" t="s">
        <v>293</v>
      </c>
      <c r="D45" s="322"/>
      <c r="E45" s="323" t="s">
        <v>574</v>
      </c>
      <c r="F45" s="324" t="s">
        <v>148</v>
      </c>
      <c r="G45" s="325">
        <f>IF(F45&lt;&gt;"tkm.",INDEX(MEMÓRIA!L:L,MATCH($A45,MEMÓRIA!A:A,0)),INDEX(TRANSPORTES!L:L,MATCH($A45,TRANSPORTES!A:A,0)))</f>
        <v>374</v>
      </c>
      <c r="H45" s="325">
        <v>10.33</v>
      </c>
      <c r="I45" s="183">
        <f t="shared" si="11"/>
        <v>0.24929999999999999</v>
      </c>
      <c r="J45" s="326">
        <f t="shared" si="13"/>
        <v>12.9</v>
      </c>
      <c r="K45" s="327">
        <f t="shared" si="14"/>
        <v>4824.6000000000004</v>
      </c>
      <c r="L45" s="328">
        <f t="shared" si="15"/>
        <v>6.2963790335401686E-4</v>
      </c>
      <c r="M45" s="185"/>
      <c r="O45" s="95" t="str">
        <f t="shared" si="12"/>
        <v>SERVIÇOS</v>
      </c>
    </row>
    <row r="46" spans="1:15" s="158" customFormat="1" ht="30" customHeight="1">
      <c r="A46" s="184" t="s">
        <v>606</v>
      </c>
      <c r="B46" s="320" t="str">
        <f t="shared" si="16"/>
        <v>5.3.5.1</v>
      </c>
      <c r="C46" s="321" t="s">
        <v>17</v>
      </c>
      <c r="D46" s="322" t="s">
        <v>9</v>
      </c>
      <c r="E46" s="323" t="s">
        <v>18</v>
      </c>
      <c r="F46" s="324" t="s">
        <v>4</v>
      </c>
      <c r="G46" s="325">
        <f>INDEX(MEMÓRIA!J:J,MATCH($A46,MEMÓRIA!A:A,0))*$G$45</f>
        <v>67.061939999999993</v>
      </c>
      <c r="H46" s="325">
        <v>118.89</v>
      </c>
      <c r="I46" s="183">
        <f>$I$6</f>
        <v>0.1109</v>
      </c>
      <c r="J46" s="326">
        <f t="shared" si="13"/>
        <v>132.07</v>
      </c>
      <c r="K46" s="327">
        <f t="shared" si="14"/>
        <v>8856.8700000000008</v>
      </c>
      <c r="L46" s="328">
        <f t="shared" si="15"/>
        <v>1.1558722084896347E-3</v>
      </c>
      <c r="M46" s="185"/>
      <c r="O46" s="95" t="str">
        <f t="shared" si="12"/>
        <v>MATERIAL</v>
      </c>
    </row>
    <row r="47" spans="1:15" s="158" customFormat="1" ht="30" customHeight="1">
      <c r="A47" s="184" t="s">
        <v>607</v>
      </c>
      <c r="B47" s="320" t="str">
        <f t="shared" si="16"/>
        <v>5.3.5.2</v>
      </c>
      <c r="C47" s="321" t="s">
        <v>223</v>
      </c>
      <c r="D47" s="322" t="s">
        <v>9</v>
      </c>
      <c r="E47" s="323" t="s">
        <v>253</v>
      </c>
      <c r="F47" s="324" t="s">
        <v>159</v>
      </c>
      <c r="G47" s="325">
        <f>INDEX(MEMÓRIA!J:J,MATCH($A47,MEMÓRIA!A:A,0))*$G$45</f>
        <v>748</v>
      </c>
      <c r="H47" s="325">
        <v>7.58</v>
      </c>
      <c r="I47" s="183">
        <f>$I$6</f>
        <v>0.1109</v>
      </c>
      <c r="J47" s="326">
        <f t="shared" si="13"/>
        <v>8.42</v>
      </c>
      <c r="K47" s="327">
        <f t="shared" si="14"/>
        <v>6298.16</v>
      </c>
      <c r="L47" s="328">
        <f t="shared" si="15"/>
        <v>8.2194591414586375E-4</v>
      </c>
      <c r="M47" s="185"/>
      <c r="O47" s="95" t="str">
        <f t="shared" si="12"/>
        <v>MATERIAL</v>
      </c>
    </row>
    <row r="48" spans="1:15" s="158" customFormat="1" ht="30" customHeight="1">
      <c r="A48" s="184" t="s">
        <v>608</v>
      </c>
      <c r="B48" s="320" t="str">
        <f t="shared" si="16"/>
        <v>5.3.5.3</v>
      </c>
      <c r="C48" s="321" t="s">
        <v>349</v>
      </c>
      <c r="D48" s="322" t="s">
        <v>351</v>
      </c>
      <c r="E48" s="323" t="s">
        <v>347</v>
      </c>
      <c r="F48" s="324" t="s">
        <v>148</v>
      </c>
      <c r="G48" s="325">
        <f>INDEX(MEMÓRIA!J:J,MATCH($A48,MEMÓRIA!A:A,0))*$G$45</f>
        <v>374</v>
      </c>
      <c r="H48" s="325">
        <v>82.76</v>
      </c>
      <c r="I48" s="183">
        <f>$I$6</f>
        <v>0.1109</v>
      </c>
      <c r="J48" s="326">
        <f t="shared" si="13"/>
        <v>91.93</v>
      </c>
      <c r="K48" s="327">
        <f t="shared" si="14"/>
        <v>34381.82</v>
      </c>
      <c r="L48" s="328">
        <f t="shared" si="15"/>
        <v>4.4870242213437802E-3</v>
      </c>
      <c r="M48" s="185"/>
      <c r="O48" s="95" t="str">
        <f t="shared" si="12"/>
        <v>MATERIAL</v>
      </c>
    </row>
    <row r="49" spans="1:15" s="158" customFormat="1" ht="45" customHeight="1">
      <c r="A49" s="184" t="s">
        <v>463</v>
      </c>
      <c r="B49" s="320" t="str">
        <f t="shared" si="16"/>
        <v>5.3.6</v>
      </c>
      <c r="C49" s="321" t="s">
        <v>300</v>
      </c>
      <c r="D49" s="322"/>
      <c r="E49" s="323" t="s">
        <v>575</v>
      </c>
      <c r="F49" s="324" t="s">
        <v>148</v>
      </c>
      <c r="G49" s="325">
        <f>IF(F49&lt;&gt;"tkm.",INDEX(MEMÓRIA!L:L,MATCH($A49,MEMÓRIA!A:A,0)),INDEX(TRANSPORTES!L:L,MATCH($A49,TRANSPORTES!A:A,0)))</f>
        <v>40</v>
      </c>
      <c r="H49" s="325">
        <v>10.28</v>
      </c>
      <c r="I49" s="183">
        <f t="shared" si="11"/>
        <v>0.24929999999999999</v>
      </c>
      <c r="J49" s="326">
        <f t="shared" si="13"/>
        <v>12.84</v>
      </c>
      <c r="K49" s="327">
        <f t="shared" si="14"/>
        <v>513.6</v>
      </c>
      <c r="L49" s="328">
        <f t="shared" si="15"/>
        <v>6.7027738499072056E-5</v>
      </c>
      <c r="M49" s="185"/>
      <c r="O49" s="95" t="str">
        <f t="shared" si="12"/>
        <v>SERVIÇOS</v>
      </c>
    </row>
    <row r="50" spans="1:15" s="158" customFormat="1" ht="30" customHeight="1">
      <c r="A50" s="184" t="s">
        <v>470</v>
      </c>
      <c r="B50" s="320" t="str">
        <f t="shared" si="16"/>
        <v>5.3.6.1</v>
      </c>
      <c r="C50" s="321" t="s">
        <v>17</v>
      </c>
      <c r="D50" s="322" t="s">
        <v>9</v>
      </c>
      <c r="E50" s="323" t="s">
        <v>18</v>
      </c>
      <c r="F50" s="324" t="s">
        <v>4</v>
      </c>
      <c r="G50" s="325">
        <f>INDEX(MEMÓRIA!J:J,MATCH($A50,MEMÓRIA!A:A,0))*$G$49</f>
        <v>4.9736000000000002</v>
      </c>
      <c r="H50" s="325">
        <v>118.89</v>
      </c>
      <c r="I50" s="183">
        <f>$I$6</f>
        <v>0.1109</v>
      </c>
      <c r="J50" s="326">
        <f t="shared" si="13"/>
        <v>132.07</v>
      </c>
      <c r="K50" s="327">
        <f t="shared" si="14"/>
        <v>656.86</v>
      </c>
      <c r="L50" s="328">
        <f t="shared" si="15"/>
        <v>8.5723988143497791E-5</v>
      </c>
      <c r="M50" s="185"/>
      <c r="O50" s="95" t="str">
        <f t="shared" si="12"/>
        <v>MATERIAL</v>
      </c>
    </row>
    <row r="51" spans="1:15" s="158" customFormat="1" ht="30" customHeight="1">
      <c r="A51" s="184" t="s">
        <v>471</v>
      </c>
      <c r="B51" s="320" t="str">
        <f t="shared" si="16"/>
        <v>5.3.6.2</v>
      </c>
      <c r="C51" s="321" t="s">
        <v>223</v>
      </c>
      <c r="D51" s="322" t="s">
        <v>9</v>
      </c>
      <c r="E51" s="323" t="s">
        <v>253</v>
      </c>
      <c r="F51" s="324" t="s">
        <v>159</v>
      </c>
      <c r="G51" s="325">
        <f>INDEX(MEMÓRIA!J:J,MATCH($A51,MEMÓRIA!A:A,0))*$G$49</f>
        <v>80</v>
      </c>
      <c r="H51" s="325">
        <v>7.58</v>
      </c>
      <c r="I51" s="183">
        <f>$I$6</f>
        <v>0.1109</v>
      </c>
      <c r="J51" s="326">
        <f t="shared" si="13"/>
        <v>8.42</v>
      </c>
      <c r="K51" s="327">
        <f t="shared" si="14"/>
        <v>673.6</v>
      </c>
      <c r="L51" s="328">
        <f t="shared" si="15"/>
        <v>8.7908653919343722E-5</v>
      </c>
      <c r="M51" s="185"/>
      <c r="O51" s="95" t="str">
        <f t="shared" si="12"/>
        <v>MATERIAL</v>
      </c>
    </row>
    <row r="52" spans="1:15" s="158" customFormat="1" ht="30" customHeight="1">
      <c r="A52" s="184" t="s">
        <v>472</v>
      </c>
      <c r="B52" s="320" t="str">
        <f t="shared" si="16"/>
        <v>5.3.6.3</v>
      </c>
      <c r="C52" s="321" t="s">
        <v>350</v>
      </c>
      <c r="D52" s="322" t="s">
        <v>351</v>
      </c>
      <c r="E52" s="323" t="s">
        <v>348</v>
      </c>
      <c r="F52" s="324" t="s">
        <v>148</v>
      </c>
      <c r="G52" s="325">
        <f>INDEX(MEMÓRIA!J:J,MATCH($A52,MEMÓRIA!A:A,0))*$G$49</f>
        <v>40</v>
      </c>
      <c r="H52" s="325">
        <v>127.1</v>
      </c>
      <c r="I52" s="183">
        <f>$I$6</f>
        <v>0.1109</v>
      </c>
      <c r="J52" s="326">
        <f t="shared" si="13"/>
        <v>141.19</v>
      </c>
      <c r="K52" s="327">
        <f t="shared" si="14"/>
        <v>5647.6</v>
      </c>
      <c r="L52" s="328">
        <f t="shared" si="15"/>
        <v>7.3704411204703925E-4</v>
      </c>
      <c r="M52" s="185"/>
      <c r="O52" s="95" t="str">
        <f t="shared" si="12"/>
        <v>MATERIAL</v>
      </c>
    </row>
    <row r="53" spans="1:15" s="158" customFormat="1" ht="45" customHeight="1">
      <c r="A53" s="184" t="s">
        <v>464</v>
      </c>
      <c r="B53" s="320" t="str">
        <f>A53</f>
        <v>5.3.7</v>
      </c>
      <c r="C53" s="321" t="s">
        <v>605</v>
      </c>
      <c r="D53" s="322"/>
      <c r="E53" s="323" t="s">
        <v>603</v>
      </c>
      <c r="F53" s="324" t="s">
        <v>148</v>
      </c>
      <c r="G53" s="325">
        <f>IF(F53&lt;&gt;"tkm.",INDEX(MEMÓRIA!L:L,MATCH($A53,MEMÓRIA!A:A,0)),INDEX(TRANSPORTES!L:L,MATCH($A53,TRANSPORTES!A:A,0)))</f>
        <v>72</v>
      </c>
      <c r="H53" s="325">
        <v>30.26</v>
      </c>
      <c r="I53" s="183">
        <f t="shared" si="11"/>
        <v>0.24929999999999999</v>
      </c>
      <c r="J53" s="326">
        <f t="shared" si="13"/>
        <v>37.799999999999997</v>
      </c>
      <c r="K53" s="327">
        <f t="shared" si="14"/>
        <v>2721.6</v>
      </c>
      <c r="L53" s="328">
        <f t="shared" si="15"/>
        <v>3.5518437129882104E-4</v>
      </c>
      <c r="M53" s="185"/>
      <c r="O53" s="95" t="str">
        <f>IF(I53=$I$6,"MATERIAL",IF(I53=$I$5,"SERVIÇOS"," "))</f>
        <v>SERVIÇOS</v>
      </c>
    </row>
    <row r="54" spans="1:15" s="158" customFormat="1" ht="30" customHeight="1">
      <c r="A54" s="184" t="s">
        <v>473</v>
      </c>
      <c r="B54" s="320" t="str">
        <f>A54</f>
        <v>5.3.7.1</v>
      </c>
      <c r="C54" s="321" t="s">
        <v>17</v>
      </c>
      <c r="D54" s="322" t="s">
        <v>9</v>
      </c>
      <c r="E54" s="323" t="s">
        <v>18</v>
      </c>
      <c r="F54" s="324" t="s">
        <v>4</v>
      </c>
      <c r="G54" s="325">
        <f>INDEX(MEMÓRIA!J:J,MATCH($A54,MEMÓRIA!A:A,0))*$G$53</f>
        <v>66.910319999999999</v>
      </c>
      <c r="H54" s="325">
        <v>118.89</v>
      </c>
      <c r="I54" s="183">
        <f>$I$6</f>
        <v>0.1109</v>
      </c>
      <c r="J54" s="326">
        <f t="shared" si="13"/>
        <v>132.07</v>
      </c>
      <c r="K54" s="327">
        <f t="shared" si="14"/>
        <v>8836.84</v>
      </c>
      <c r="L54" s="328">
        <f t="shared" si="15"/>
        <v>1.1532581788904592E-3</v>
      </c>
      <c r="M54" s="185"/>
      <c r="O54" s="95" t="str">
        <f>IF(I54=$I$6,"MATERIAL",IF(I54=$I$5,"SERVIÇOS"," "))</f>
        <v>MATERIAL</v>
      </c>
    </row>
    <row r="55" spans="1:15" s="158" customFormat="1" ht="30" customHeight="1">
      <c r="A55" s="184" t="s">
        <v>474</v>
      </c>
      <c r="B55" s="320" t="str">
        <f>A55</f>
        <v>5.3.7.2</v>
      </c>
      <c r="C55" s="321" t="s">
        <v>223</v>
      </c>
      <c r="D55" s="322" t="s">
        <v>9</v>
      </c>
      <c r="E55" s="323" t="s">
        <v>253</v>
      </c>
      <c r="F55" s="324" t="s">
        <v>159</v>
      </c>
      <c r="G55" s="325">
        <f>INDEX(MEMÓRIA!J:J,MATCH($A55,MEMÓRIA!A:A,0))*$G$53</f>
        <v>216</v>
      </c>
      <c r="H55" s="325">
        <v>7.58</v>
      </c>
      <c r="I55" s="183">
        <f>$I$6</f>
        <v>0.1109</v>
      </c>
      <c r="J55" s="326">
        <f t="shared" si="13"/>
        <v>8.42</v>
      </c>
      <c r="K55" s="327">
        <f t="shared" si="14"/>
        <v>1818.72</v>
      </c>
      <c r="L55" s="328">
        <f t="shared" si="15"/>
        <v>2.3735336558222805E-4</v>
      </c>
      <c r="M55" s="185"/>
      <c r="O55" s="95" t="str">
        <f>IF(I55=$I$6,"MATERIAL",IF(I55=$I$5,"SERVIÇOS"," "))</f>
        <v>MATERIAL</v>
      </c>
    </row>
    <row r="56" spans="1:15" s="158" customFormat="1" ht="30" customHeight="1">
      <c r="A56" s="184" t="s">
        <v>475</v>
      </c>
      <c r="B56" s="320" t="str">
        <f>A56</f>
        <v>5.3.7.3</v>
      </c>
      <c r="C56" s="321" t="s">
        <v>220</v>
      </c>
      <c r="D56" s="322" t="s">
        <v>9</v>
      </c>
      <c r="E56" s="323" t="s">
        <v>250</v>
      </c>
      <c r="F56" s="324" t="s">
        <v>159</v>
      </c>
      <c r="G56" s="325">
        <f>INDEX(MEMÓRIA!J:J,MATCH($A56,MEMÓRIA!A:A,0))*$G$53</f>
        <v>216</v>
      </c>
      <c r="H56" s="325">
        <v>48.2</v>
      </c>
      <c r="I56" s="183">
        <f>$I$6</f>
        <v>0.1109</v>
      </c>
      <c r="J56" s="326">
        <f t="shared" si="13"/>
        <v>53.54</v>
      </c>
      <c r="K56" s="327">
        <f t="shared" si="14"/>
        <v>11564.64</v>
      </c>
      <c r="L56" s="328">
        <f t="shared" si="15"/>
        <v>1.5092516856618158E-3</v>
      </c>
      <c r="M56" s="185"/>
      <c r="O56" s="95" t="str">
        <f>IF(I56=$I$6,"MATERIAL",IF(I56=$I$5,"SERVIÇOS"," "))</f>
        <v>MATERIAL</v>
      </c>
    </row>
    <row r="57" spans="1:15" s="158" customFormat="1" ht="30" customHeight="1">
      <c r="A57" s="184" t="s">
        <v>609</v>
      </c>
      <c r="B57" s="320" t="str">
        <f>A57</f>
        <v>5.3.7.4</v>
      </c>
      <c r="C57" s="321" t="s">
        <v>349</v>
      </c>
      <c r="D57" s="322" t="s">
        <v>351</v>
      </c>
      <c r="E57" s="323" t="s">
        <v>347</v>
      </c>
      <c r="F57" s="324" t="s">
        <v>148</v>
      </c>
      <c r="G57" s="325">
        <f>INDEX(MEMÓRIA!J:J,MATCH($A57,MEMÓRIA!A:A,0))*$G$53</f>
        <v>72</v>
      </c>
      <c r="H57" s="325">
        <v>82.76</v>
      </c>
      <c r="I57" s="183">
        <f>$I$6</f>
        <v>0.1109</v>
      </c>
      <c r="J57" s="326">
        <f t="shared" si="13"/>
        <v>91.93</v>
      </c>
      <c r="K57" s="327">
        <f t="shared" si="14"/>
        <v>6618.96</v>
      </c>
      <c r="L57" s="328">
        <f t="shared" si="15"/>
        <v>8.6381214956350843E-4</v>
      </c>
      <c r="M57" s="185"/>
      <c r="O57" s="95" t="str">
        <f>IF(I57=$I$6,"MATERIAL",IF(I57=$I$5,"SERVIÇOS"," "))</f>
        <v>MATERIAL</v>
      </c>
    </row>
    <row r="58" spans="1:15" s="158" customFormat="1" ht="30" customHeight="1">
      <c r="A58" s="184" t="s">
        <v>465</v>
      </c>
      <c r="B58" s="320" t="str">
        <f t="shared" si="16"/>
        <v>5.3.8</v>
      </c>
      <c r="C58" s="321">
        <v>2003767</v>
      </c>
      <c r="D58" s="322" t="s">
        <v>9</v>
      </c>
      <c r="E58" s="323" t="s">
        <v>274</v>
      </c>
      <c r="F58" s="324" t="s">
        <v>4</v>
      </c>
      <c r="G58" s="325">
        <f>IF(F58&lt;&gt;"tkm.",INDEX(MEMÓRIA!L:L,MATCH($A58,MEMÓRIA!A:A,0)),INDEX(TRANSPORTES!L:L,MATCH($A58,TRANSPORTES!A:A,0)))</f>
        <v>635.79999999999995</v>
      </c>
      <c r="H58" s="325">
        <v>5.9</v>
      </c>
      <c r="I58" s="183">
        <f t="shared" si="11"/>
        <v>0.24929999999999999</v>
      </c>
      <c r="J58" s="326">
        <f t="shared" si="13"/>
        <v>7.37</v>
      </c>
      <c r="K58" s="327">
        <f t="shared" si="14"/>
        <v>4685.84</v>
      </c>
      <c r="L58" s="328">
        <f t="shared" si="15"/>
        <v>6.1152892945578617E-4</v>
      </c>
      <c r="M58" s="185"/>
      <c r="O58" s="95" t="str">
        <f t="shared" si="12"/>
        <v>SERVIÇOS</v>
      </c>
    </row>
    <row r="59" spans="1:15" s="158" customFormat="1" ht="30" customHeight="1">
      <c r="A59" s="184" t="s">
        <v>476</v>
      </c>
      <c r="B59" s="320" t="str">
        <f t="shared" si="16"/>
        <v>5.3.8.1</v>
      </c>
      <c r="C59" s="321" t="s">
        <v>203</v>
      </c>
      <c r="D59" s="322" t="s">
        <v>9</v>
      </c>
      <c r="E59" s="323" t="s">
        <v>204</v>
      </c>
      <c r="F59" s="324" t="s">
        <v>4</v>
      </c>
      <c r="G59" s="325">
        <f>INDEX(MEMÓRIA!H:H,MATCH($A59,MEMÓRIA!A:A,0))</f>
        <v>635.80000000000007</v>
      </c>
      <c r="H59" s="325">
        <v>140.37</v>
      </c>
      <c r="I59" s="183">
        <f>$I$6</f>
        <v>0.1109</v>
      </c>
      <c r="J59" s="326">
        <f t="shared" si="13"/>
        <v>155.93</v>
      </c>
      <c r="K59" s="327">
        <f t="shared" si="14"/>
        <v>99140.29</v>
      </c>
      <c r="L59" s="328">
        <f t="shared" si="15"/>
        <v>1.293837506394503E-2</v>
      </c>
      <c r="M59" s="185"/>
      <c r="O59" s="95" t="str">
        <f t="shared" si="12"/>
        <v>MATERIAL</v>
      </c>
    </row>
    <row r="60" spans="1:15" s="158" customFormat="1" ht="30" customHeight="1">
      <c r="A60" s="184" t="s">
        <v>466</v>
      </c>
      <c r="B60" s="320" t="str">
        <f t="shared" ref="B60:B65" si="17">A60</f>
        <v>5.3.9</v>
      </c>
      <c r="C60" s="321">
        <v>5914359</v>
      </c>
      <c r="D60" s="322" t="s">
        <v>9</v>
      </c>
      <c r="E60" s="323" t="s">
        <v>366</v>
      </c>
      <c r="F60" s="324" t="s">
        <v>367</v>
      </c>
      <c r="G60" s="325">
        <f>IF(F60&lt;&gt;"tkm.",INDEX(MEMÓRIA!L:L,MATCH($A60,MEMÓRIA!A:A,0)),INDEX(TRANSPORTES!L:L,MATCH($A60,TRANSPORTES!A:A,0)))</f>
        <v>3185.37</v>
      </c>
      <c r="H60" s="325">
        <v>1.18</v>
      </c>
      <c r="I60" s="183">
        <f t="shared" si="11"/>
        <v>0.24929999999999999</v>
      </c>
      <c r="J60" s="326">
        <f t="shared" si="13"/>
        <v>1.47</v>
      </c>
      <c r="K60" s="327">
        <f t="shared" si="14"/>
        <v>4682.49</v>
      </c>
      <c r="L60" s="328">
        <f t="shared" si="15"/>
        <v>6.1109173528917419E-4</v>
      </c>
      <c r="M60" s="185"/>
      <c r="O60" s="95" t="str">
        <f>IF(I60=$I$6,"MATERIAL",IF(I60=$I$5,"SERVIÇOS"," "))</f>
        <v>SERVIÇOS</v>
      </c>
    </row>
    <row r="61" spans="1:15" s="158" customFormat="1" ht="30" customHeight="1">
      <c r="A61" s="184" t="s">
        <v>467</v>
      </c>
      <c r="B61" s="320" t="str">
        <f t="shared" si="17"/>
        <v>5.3.10</v>
      </c>
      <c r="C61" s="321">
        <v>5914449</v>
      </c>
      <c r="D61" s="322" t="s">
        <v>9</v>
      </c>
      <c r="E61" s="323" t="s">
        <v>370</v>
      </c>
      <c r="F61" s="324" t="s">
        <v>367</v>
      </c>
      <c r="G61" s="325">
        <f>IF(F61&lt;&gt;"tkm.",INDEX(MEMÓRIA!L:L,MATCH($A61,MEMÓRIA!A:A,0)),INDEX(TRANSPORTES!L:L,MATCH($A61,TRANSPORTES!A:A,0)))</f>
        <v>42.22</v>
      </c>
      <c r="H61" s="325">
        <v>1.08</v>
      </c>
      <c r="I61" s="183">
        <f t="shared" si="11"/>
        <v>0.24929999999999999</v>
      </c>
      <c r="J61" s="326">
        <f t="shared" si="13"/>
        <v>1.34</v>
      </c>
      <c r="K61" s="327">
        <f t="shared" si="14"/>
        <v>56.57</v>
      </c>
      <c r="L61" s="328">
        <f t="shared" si="15"/>
        <v>7.3827086582798016E-6</v>
      </c>
      <c r="M61" s="185"/>
      <c r="O61" s="95" t="str">
        <f>IF(I61=$I$6,"MATERIAL",IF(I61=$I$5,"SERVIÇOS"," "))</f>
        <v>SERVIÇOS</v>
      </c>
    </row>
    <row r="62" spans="1:15" s="158" customFormat="1" ht="30" customHeight="1">
      <c r="A62" s="184" t="s">
        <v>468</v>
      </c>
      <c r="B62" s="320" t="str">
        <f t="shared" si="17"/>
        <v>5.3.11</v>
      </c>
      <c r="C62" s="321">
        <v>5914389</v>
      </c>
      <c r="D62" s="322" t="s">
        <v>9</v>
      </c>
      <c r="E62" s="323" t="s">
        <v>371</v>
      </c>
      <c r="F62" s="324" t="s">
        <v>367</v>
      </c>
      <c r="G62" s="325">
        <f>IF(F62&lt;&gt;"tkm.",INDEX(MEMÓRIA!L:L,MATCH($A62,MEMÓRIA!A:A,0)),INDEX(TRANSPORTES!L:L,MATCH($A62,TRANSPORTES!A:A,0)))</f>
        <v>54873.66</v>
      </c>
      <c r="H62" s="325">
        <v>0.77</v>
      </c>
      <c r="I62" s="183">
        <f t="shared" si="11"/>
        <v>0.24929999999999999</v>
      </c>
      <c r="J62" s="326">
        <f t="shared" si="13"/>
        <v>0.96</v>
      </c>
      <c r="K62" s="327">
        <f t="shared" si="14"/>
        <v>52678.71</v>
      </c>
      <c r="L62" s="328">
        <f t="shared" si="15"/>
        <v>6.8748730497438706E-3</v>
      </c>
      <c r="M62" s="185"/>
      <c r="O62" s="95" t="str">
        <f>IF(I62=$I$6,"MATERIAL",IF(I62=$I$5,"SERVIÇOS"," "))</f>
        <v>SERVIÇOS</v>
      </c>
    </row>
    <row r="63" spans="1:15" s="158" customFormat="1" ht="30" customHeight="1">
      <c r="A63" s="184" t="s">
        <v>469</v>
      </c>
      <c r="B63" s="320" t="str">
        <f t="shared" si="17"/>
        <v>5.3.12</v>
      </c>
      <c r="C63" s="321">
        <v>5914479</v>
      </c>
      <c r="D63" s="322" t="s">
        <v>9</v>
      </c>
      <c r="E63" s="323" t="s">
        <v>372</v>
      </c>
      <c r="F63" s="324" t="s">
        <v>367</v>
      </c>
      <c r="G63" s="325">
        <f>IF(F63&lt;&gt;"tkm.",INDEX(MEMÓRIA!L:L,MATCH($A63,MEMÓRIA!A:A,0)),INDEX(TRANSPORTES!L:L,MATCH($A63,TRANSPORTES!A:A,0)))</f>
        <v>1614.81</v>
      </c>
      <c r="H63" s="325">
        <v>0.71</v>
      </c>
      <c r="I63" s="183">
        <f t="shared" si="11"/>
        <v>0.24929999999999999</v>
      </c>
      <c r="J63" s="326">
        <f t="shared" si="13"/>
        <v>0.88</v>
      </c>
      <c r="K63" s="327">
        <f t="shared" si="14"/>
        <v>1421.03</v>
      </c>
      <c r="L63" s="328">
        <f t="shared" si="15"/>
        <v>1.8545254524792904E-4</v>
      </c>
      <c r="M63" s="185"/>
      <c r="O63" s="95" t="str">
        <f>IF(I63=$I$6,"MATERIAL",IF(I63=$I$5,"SERVIÇOS"," "))</f>
        <v>SERVIÇOS</v>
      </c>
    </row>
    <row r="64" spans="1:15" s="158" customFormat="1" ht="30" customHeight="1">
      <c r="A64" s="182" t="s">
        <v>428</v>
      </c>
      <c r="B64" s="242" t="str">
        <f t="shared" si="17"/>
        <v>5.4</v>
      </c>
      <c r="C64" s="243"/>
      <c r="D64" s="244"/>
      <c r="E64" s="245" t="s">
        <v>576</v>
      </c>
      <c r="F64" s="244"/>
      <c r="G64" s="246"/>
      <c r="H64" s="246"/>
      <c r="I64" s="247"/>
      <c r="J64" s="246"/>
      <c r="K64" s="248">
        <f>SUBTOTAL(109,K65:K82)</f>
        <v>832919.84</v>
      </c>
      <c r="L64" s="249">
        <f>SUBTOTAL(109,L65:L82)</f>
        <v>0.10870080456816381</v>
      </c>
      <c r="M64" s="250"/>
      <c r="O64" s="95" t="str">
        <f t="shared" si="12"/>
        <v xml:space="preserve"> </v>
      </c>
    </row>
    <row r="65" spans="1:15" s="158" customFormat="1" ht="45" customHeight="1">
      <c r="A65" s="184" t="s">
        <v>477</v>
      </c>
      <c r="B65" s="320" t="str">
        <f t="shared" si="17"/>
        <v>5.4.1</v>
      </c>
      <c r="C65" s="321" t="s">
        <v>642</v>
      </c>
      <c r="D65" s="322"/>
      <c r="E65" s="323" t="s">
        <v>302</v>
      </c>
      <c r="F65" s="324" t="s">
        <v>159</v>
      </c>
      <c r="G65" s="325">
        <f>IF(F65&lt;&gt;"tkm.",INDEX(MEMÓRIA!L:L,MATCH($A65,MEMÓRIA!A:A,0)),INDEX(TRANSPORTES!L:L,MATCH($A65,TRANSPORTES!A:A,0)))</f>
        <v>6358</v>
      </c>
      <c r="H65" s="325">
        <v>0.11</v>
      </c>
      <c r="I65" s="183">
        <f t="shared" si="11"/>
        <v>0.24929999999999999</v>
      </c>
      <c r="J65" s="326">
        <f t="shared" ref="J65:J82" si="18">TRUNC(H65*(1+I65),2)</f>
        <v>0.13</v>
      </c>
      <c r="K65" s="327">
        <f t="shared" ref="K65:K82" si="19">TRUNC(G65*J65,2)</f>
        <v>826.54</v>
      </c>
      <c r="L65" s="328">
        <f t="shared" ref="L65:L82" si="20">K65/$K$196</f>
        <v>1.0786819894669589E-4</v>
      </c>
      <c r="M65" s="185"/>
      <c r="O65" s="95" t="str">
        <f t="shared" si="12"/>
        <v>SERVIÇOS</v>
      </c>
    </row>
    <row r="66" spans="1:15" s="158" customFormat="1" ht="30" customHeight="1">
      <c r="A66" s="184" t="s">
        <v>478</v>
      </c>
      <c r="B66" s="320" t="str">
        <f t="shared" ref="B66:B80" si="21">A66</f>
        <v>5.4.1.1</v>
      </c>
      <c r="C66" s="321">
        <v>44515</v>
      </c>
      <c r="D66" s="322" t="s">
        <v>5</v>
      </c>
      <c r="E66" s="323" t="s">
        <v>298</v>
      </c>
      <c r="F66" s="324" t="s">
        <v>159</v>
      </c>
      <c r="G66" s="325">
        <f>INDEX(MEMÓRIA!G:G,MATCH($A66,MEMÓRIA!A:A,0))</f>
        <v>6358</v>
      </c>
      <c r="H66" s="325">
        <v>30.88</v>
      </c>
      <c r="I66" s="183">
        <f>$I$6</f>
        <v>0.1109</v>
      </c>
      <c r="J66" s="326">
        <f t="shared" si="18"/>
        <v>34.299999999999997</v>
      </c>
      <c r="K66" s="327">
        <f t="shared" si="19"/>
        <v>218079.4</v>
      </c>
      <c r="L66" s="328">
        <f t="shared" si="20"/>
        <v>2.8460609414397455E-2</v>
      </c>
      <c r="M66" s="185"/>
      <c r="O66" s="95" t="str">
        <f t="shared" ref="O66:O75" si="22">IF(I66=$I$6,"MATERIAL",IF(I66=$I$5,"SERVIÇOS"," "))</f>
        <v>MATERIAL</v>
      </c>
    </row>
    <row r="67" spans="1:15" s="158" customFormat="1" ht="30" customHeight="1">
      <c r="A67" s="184" t="s">
        <v>479</v>
      </c>
      <c r="B67" s="320" t="str">
        <f t="shared" si="21"/>
        <v>5.4.2</v>
      </c>
      <c r="C67" s="321">
        <v>1107928</v>
      </c>
      <c r="D67" s="322" t="s">
        <v>9</v>
      </c>
      <c r="E67" s="323" t="s">
        <v>304</v>
      </c>
      <c r="F67" s="324" t="s">
        <v>4</v>
      </c>
      <c r="G67" s="325">
        <f>IF(F67&lt;&gt;"tkm.",INDEX(MEMÓRIA!L:L,MATCH($A67,MEMÓRIA!A:A,0)),INDEX(TRANSPORTES!L:L,MATCH($A67,TRANSPORTES!A:A,0)))</f>
        <v>574.21</v>
      </c>
      <c r="H67" s="325">
        <v>26.34</v>
      </c>
      <c r="I67" s="183">
        <f t="shared" si="11"/>
        <v>0.24929999999999999</v>
      </c>
      <c r="J67" s="326">
        <f t="shared" si="18"/>
        <v>32.9</v>
      </c>
      <c r="K67" s="327">
        <f t="shared" si="19"/>
        <v>18891.5</v>
      </c>
      <c r="L67" s="328">
        <f t="shared" si="20"/>
        <v>2.4654488353878889E-3</v>
      </c>
      <c r="M67" s="185"/>
      <c r="N67" s="96"/>
      <c r="O67" s="95" t="str">
        <f t="shared" si="22"/>
        <v>SERVIÇOS</v>
      </c>
    </row>
    <row r="68" spans="1:15" s="158" customFormat="1" ht="30" customHeight="1">
      <c r="A68" s="184" t="s">
        <v>480</v>
      </c>
      <c r="B68" s="320" t="str">
        <f t="shared" si="21"/>
        <v>5.4.2.1</v>
      </c>
      <c r="C68" s="321" t="s">
        <v>152</v>
      </c>
      <c r="D68" s="322" t="s">
        <v>9</v>
      </c>
      <c r="E68" s="323" t="s">
        <v>153</v>
      </c>
      <c r="F68" s="324" t="s">
        <v>19</v>
      </c>
      <c r="G68" s="325">
        <f>0.82391*G67</f>
        <v>473.09736110000006</v>
      </c>
      <c r="H68" s="325">
        <v>6.09</v>
      </c>
      <c r="I68" s="183">
        <f>$I$6</f>
        <v>0.1109</v>
      </c>
      <c r="J68" s="326">
        <f t="shared" si="18"/>
        <v>6.76</v>
      </c>
      <c r="K68" s="327">
        <f t="shared" si="19"/>
        <v>3198.13</v>
      </c>
      <c r="L68" s="328">
        <f t="shared" si="20"/>
        <v>4.1737426270645894E-4</v>
      </c>
      <c r="M68" s="185"/>
      <c r="O68" s="95" t="str">
        <f t="shared" si="22"/>
        <v>MATERIAL</v>
      </c>
    </row>
    <row r="69" spans="1:15" s="158" customFormat="1" ht="30" customHeight="1">
      <c r="A69" s="184" t="s">
        <v>481</v>
      </c>
      <c r="B69" s="320" t="str">
        <f t="shared" si="21"/>
        <v>5.4.2.2</v>
      </c>
      <c r="C69" s="321" t="s">
        <v>149</v>
      </c>
      <c r="D69" s="322" t="s">
        <v>9</v>
      </c>
      <c r="E69" s="323" t="s">
        <v>150</v>
      </c>
      <c r="F69" s="324" t="s">
        <v>4</v>
      </c>
      <c r="G69" s="325">
        <f>0.63759*G67</f>
        <v>366.11055390000001</v>
      </c>
      <c r="H69" s="325">
        <v>139.72</v>
      </c>
      <c r="I69" s="183">
        <f>$I$6</f>
        <v>0.1109</v>
      </c>
      <c r="J69" s="326">
        <f t="shared" si="18"/>
        <v>155.21</v>
      </c>
      <c r="K69" s="327">
        <f t="shared" si="19"/>
        <v>56824.01</v>
      </c>
      <c r="L69" s="328">
        <f t="shared" si="20"/>
        <v>7.4158584165666969E-3</v>
      </c>
      <c r="M69" s="185"/>
      <c r="O69" s="95" t="str">
        <f t="shared" si="22"/>
        <v>MATERIAL</v>
      </c>
    </row>
    <row r="70" spans="1:15" s="158" customFormat="1" ht="30" customHeight="1">
      <c r="A70" s="184" t="s">
        <v>482</v>
      </c>
      <c r="B70" s="320" t="str">
        <f t="shared" si="21"/>
        <v>5.4.2.3</v>
      </c>
      <c r="C70" s="321" t="s">
        <v>154</v>
      </c>
      <c r="D70" s="322" t="s">
        <v>9</v>
      </c>
      <c r="E70" s="323" t="s">
        <v>155</v>
      </c>
      <c r="F70" s="324" t="s">
        <v>4</v>
      </c>
      <c r="G70" s="325">
        <f>0.36754*G67</f>
        <v>211.0451434</v>
      </c>
      <c r="H70" s="325">
        <v>123.72</v>
      </c>
      <c r="I70" s="183">
        <f>$I$6</f>
        <v>0.1109</v>
      </c>
      <c r="J70" s="326">
        <f t="shared" si="18"/>
        <v>137.44</v>
      </c>
      <c r="K70" s="327">
        <f t="shared" si="19"/>
        <v>29006.04</v>
      </c>
      <c r="L70" s="328">
        <f t="shared" si="20"/>
        <v>3.7854541744813549E-3</v>
      </c>
      <c r="M70" s="185"/>
      <c r="O70" s="95" t="str">
        <f t="shared" si="22"/>
        <v>MATERIAL</v>
      </c>
    </row>
    <row r="71" spans="1:15" s="158" customFormat="1" ht="30" customHeight="1">
      <c r="A71" s="184" t="s">
        <v>483</v>
      </c>
      <c r="B71" s="320" t="str">
        <f t="shared" si="21"/>
        <v>5.4.2.4</v>
      </c>
      <c r="C71" s="321" t="s">
        <v>17</v>
      </c>
      <c r="D71" s="322" t="s">
        <v>9</v>
      </c>
      <c r="E71" s="323" t="s">
        <v>18</v>
      </c>
      <c r="F71" s="324" t="s">
        <v>4</v>
      </c>
      <c r="G71" s="325">
        <f>0.36754*G67</f>
        <v>211.0451434</v>
      </c>
      <c r="H71" s="325">
        <v>118.89</v>
      </c>
      <c r="I71" s="183">
        <f>$I$6</f>
        <v>0.1109</v>
      </c>
      <c r="J71" s="326">
        <f t="shared" si="18"/>
        <v>132.07</v>
      </c>
      <c r="K71" s="327">
        <f t="shared" si="19"/>
        <v>27872.73</v>
      </c>
      <c r="L71" s="328">
        <f t="shared" si="20"/>
        <v>3.6375507353879292E-3</v>
      </c>
      <c r="M71" s="185"/>
      <c r="O71" s="95" t="str">
        <f t="shared" si="22"/>
        <v>MATERIAL</v>
      </c>
    </row>
    <row r="72" spans="1:15" s="158" customFormat="1" ht="30" customHeight="1">
      <c r="A72" s="184" t="s">
        <v>484</v>
      </c>
      <c r="B72" s="320" t="str">
        <f t="shared" si="21"/>
        <v>5.4.2.5</v>
      </c>
      <c r="C72" s="321" t="s">
        <v>156</v>
      </c>
      <c r="D72" s="322" t="s">
        <v>9</v>
      </c>
      <c r="E72" s="323" t="s">
        <v>210</v>
      </c>
      <c r="F72" s="324" t="s">
        <v>19</v>
      </c>
      <c r="G72" s="325">
        <f>274.6373*G67</f>
        <v>157699.48403299999</v>
      </c>
      <c r="H72" s="325">
        <v>0.59</v>
      </c>
      <c r="I72" s="183">
        <f>$I$6</f>
        <v>0.1109</v>
      </c>
      <c r="J72" s="326">
        <f t="shared" si="18"/>
        <v>0.65</v>
      </c>
      <c r="K72" s="327">
        <f t="shared" si="19"/>
        <v>102504.66</v>
      </c>
      <c r="L72" s="328">
        <f t="shared" si="20"/>
        <v>1.3377444597773153E-2</v>
      </c>
      <c r="M72" s="185"/>
      <c r="O72" s="95" t="str">
        <f t="shared" si="22"/>
        <v>MATERIAL</v>
      </c>
    </row>
    <row r="73" spans="1:15" s="158" customFormat="1" ht="45" customHeight="1">
      <c r="A73" s="184" t="s">
        <v>485</v>
      </c>
      <c r="B73" s="320" t="str">
        <f t="shared" si="21"/>
        <v>5.4.3</v>
      </c>
      <c r="C73" s="321">
        <v>1106050</v>
      </c>
      <c r="D73" s="322" t="s">
        <v>9</v>
      </c>
      <c r="E73" s="323" t="s">
        <v>305</v>
      </c>
      <c r="F73" s="324" t="s">
        <v>4</v>
      </c>
      <c r="G73" s="325">
        <f>IF(F73&lt;&gt;"tkm.",INDEX(MEMÓRIA!L:L,MATCH($A73,MEMÓRIA!A:A,0)),INDEX(TRANSPORTES!L:L,MATCH($A73,TRANSPORTES!A:A,0)))</f>
        <v>129.15</v>
      </c>
      <c r="H73" s="325">
        <v>45.63</v>
      </c>
      <c r="I73" s="183">
        <f t="shared" si="11"/>
        <v>0.24929999999999999</v>
      </c>
      <c r="J73" s="326">
        <f t="shared" si="18"/>
        <v>57</v>
      </c>
      <c r="K73" s="327">
        <f t="shared" si="19"/>
        <v>7361.55</v>
      </c>
      <c r="L73" s="328">
        <f t="shared" si="20"/>
        <v>9.6072439320063062E-4</v>
      </c>
      <c r="M73" s="185"/>
      <c r="O73" s="95" t="str">
        <f t="shared" si="22"/>
        <v>SERVIÇOS</v>
      </c>
    </row>
    <row r="74" spans="1:15" s="158" customFormat="1" ht="45" customHeight="1">
      <c r="A74" s="184" t="s">
        <v>486</v>
      </c>
      <c r="B74" s="320" t="str">
        <f t="shared" si="21"/>
        <v>5.4.4</v>
      </c>
      <c r="C74" s="321">
        <v>1106088</v>
      </c>
      <c r="D74" s="322" t="s">
        <v>9</v>
      </c>
      <c r="E74" s="323" t="s">
        <v>306</v>
      </c>
      <c r="F74" s="324" t="s">
        <v>4</v>
      </c>
      <c r="G74" s="325">
        <f>IF(F74&lt;&gt;"tkm.",INDEX(MEMÓRIA!L:L,MATCH($A74,MEMÓRIA!A:A,0)),INDEX(TRANSPORTES!L:L,MATCH($A74,TRANSPORTES!A:A,0)))</f>
        <v>445.06</v>
      </c>
      <c r="H74" s="325">
        <v>56.29</v>
      </c>
      <c r="I74" s="183">
        <f t="shared" si="11"/>
        <v>0.24929999999999999</v>
      </c>
      <c r="J74" s="326">
        <f t="shared" si="18"/>
        <v>70.319999999999993</v>
      </c>
      <c r="K74" s="327">
        <f t="shared" si="19"/>
        <v>31296.61</v>
      </c>
      <c r="L74" s="328">
        <f t="shared" si="20"/>
        <v>4.084386664695178E-3</v>
      </c>
      <c r="M74" s="185"/>
      <c r="O74" s="95" t="str">
        <f t="shared" si="22"/>
        <v>SERVIÇOS</v>
      </c>
    </row>
    <row r="75" spans="1:15" s="158" customFormat="1" ht="30" customHeight="1">
      <c r="A75" s="184" t="s">
        <v>487</v>
      </c>
      <c r="B75" s="320" t="str">
        <f t="shared" si="21"/>
        <v>5.4.5</v>
      </c>
      <c r="C75" s="321">
        <v>3108018</v>
      </c>
      <c r="D75" s="322" t="s">
        <v>9</v>
      </c>
      <c r="E75" s="323" t="s">
        <v>307</v>
      </c>
      <c r="F75" s="324" t="s">
        <v>148</v>
      </c>
      <c r="G75" s="325">
        <f>IF(F75&lt;&gt;"tkm.",INDEX(MEMÓRIA!L:L,MATCH($A75,MEMÓRIA!A:A,0)),INDEX(TRANSPORTES!L:L,MATCH($A75,TRANSPORTES!A:A,0)))</f>
        <v>821.37</v>
      </c>
      <c r="H75" s="325">
        <v>4.66</v>
      </c>
      <c r="I75" s="183">
        <f t="shared" si="11"/>
        <v>0.24929999999999999</v>
      </c>
      <c r="J75" s="326">
        <f t="shared" si="18"/>
        <v>5.82</v>
      </c>
      <c r="K75" s="327">
        <f t="shared" si="19"/>
        <v>4780.37</v>
      </c>
      <c r="L75" s="328">
        <f t="shared" si="20"/>
        <v>6.2386563529752545E-4</v>
      </c>
      <c r="M75" s="185"/>
      <c r="O75" s="95" t="str">
        <f t="shared" si="22"/>
        <v>SERVIÇOS</v>
      </c>
    </row>
    <row r="76" spans="1:15" s="158" customFormat="1" ht="30" customHeight="1">
      <c r="A76" s="184" t="s">
        <v>488</v>
      </c>
      <c r="B76" s="320" t="str">
        <f t="shared" si="21"/>
        <v>5.4.6</v>
      </c>
      <c r="C76" s="321" t="s">
        <v>643</v>
      </c>
      <c r="D76" s="322"/>
      <c r="E76" s="323" t="s">
        <v>260</v>
      </c>
      <c r="F76" s="324" t="s">
        <v>148</v>
      </c>
      <c r="G76" s="325">
        <f>IF(F76&lt;&gt;"tkm.",INDEX(MEMÓRIA!L:L,MATCH($A76,MEMÓRIA!A:A,0)),INDEX(TRANSPORTES!L:L,MATCH($A76,TRANSPORTES!A:A,0)))</f>
        <v>284.69</v>
      </c>
      <c r="H76" s="325">
        <v>0.57999999999999996</v>
      </c>
      <c r="I76" s="183">
        <f t="shared" si="11"/>
        <v>0.24929999999999999</v>
      </c>
      <c r="J76" s="326">
        <f t="shared" si="18"/>
        <v>0.72</v>
      </c>
      <c r="K76" s="327">
        <f t="shared" si="19"/>
        <v>204.97</v>
      </c>
      <c r="L76" s="328">
        <f t="shared" si="20"/>
        <v>2.6749757710581772E-5</v>
      </c>
      <c r="M76" s="185"/>
      <c r="O76" s="95" t="str">
        <f t="shared" ref="O76:O84" si="23">IF(I76=$I$6,"MATERIAL",IF(I76=$I$5,"SERVIÇOS"," "))</f>
        <v>SERVIÇOS</v>
      </c>
    </row>
    <row r="77" spans="1:15" s="158" customFormat="1" ht="30" customHeight="1">
      <c r="A77" s="184" t="s">
        <v>489</v>
      </c>
      <c r="B77" s="320" t="str">
        <f t="shared" si="21"/>
        <v>5.4.7</v>
      </c>
      <c r="C77" s="321">
        <v>5914449</v>
      </c>
      <c r="D77" s="322"/>
      <c r="E77" s="323" t="s">
        <v>370</v>
      </c>
      <c r="F77" s="324" t="s">
        <v>367</v>
      </c>
      <c r="G77" s="325">
        <f>IF(F77&lt;&gt;"tkm.",INDEX(MEMÓRIA!L:L,MATCH($A77,MEMÓRIA!A:A,0)),INDEX(TRANSPORTES!L:L,MATCH($A77,TRANSPORTES!A:A,0)))</f>
        <v>498.7</v>
      </c>
      <c r="H77" s="325">
        <v>1.08</v>
      </c>
      <c r="I77" s="183">
        <f t="shared" si="11"/>
        <v>0.24929999999999999</v>
      </c>
      <c r="J77" s="326">
        <f t="shared" si="18"/>
        <v>1.34</v>
      </c>
      <c r="K77" s="327">
        <f t="shared" si="19"/>
        <v>668.25</v>
      </c>
      <c r="L77" s="328">
        <f t="shared" si="20"/>
        <v>8.7210448309978387E-5</v>
      </c>
      <c r="M77" s="185"/>
      <c r="O77" s="95" t="str">
        <f t="shared" si="23"/>
        <v>SERVIÇOS</v>
      </c>
    </row>
    <row r="78" spans="1:15" s="158" customFormat="1" ht="30" customHeight="1">
      <c r="A78" s="184" t="s">
        <v>490</v>
      </c>
      <c r="B78" s="320" t="str">
        <f t="shared" si="21"/>
        <v>5.4.8</v>
      </c>
      <c r="C78" s="321">
        <v>5914359</v>
      </c>
      <c r="D78" s="322"/>
      <c r="E78" s="323" t="s">
        <v>376</v>
      </c>
      <c r="F78" s="324" t="s">
        <v>367</v>
      </c>
      <c r="G78" s="325">
        <f>IF(F78&lt;&gt;"tkm.",INDEX(MEMÓRIA!L:L,MATCH($A78,MEMÓRIA!A:A,0)),INDEX(TRANSPORTES!L:L,MATCH($A78,TRANSPORTES!A:A,0)))</f>
        <v>3546.91</v>
      </c>
      <c r="H78" s="325">
        <v>1.18</v>
      </c>
      <c r="I78" s="183">
        <f t="shared" si="11"/>
        <v>0.24929999999999999</v>
      </c>
      <c r="J78" s="326">
        <f t="shared" si="18"/>
        <v>1.47</v>
      </c>
      <c r="K78" s="327">
        <f t="shared" si="19"/>
        <v>5213.95</v>
      </c>
      <c r="L78" s="328">
        <f t="shared" si="20"/>
        <v>6.8045030597203404E-4</v>
      </c>
      <c r="M78" s="185"/>
      <c r="O78" s="95" t="str">
        <f t="shared" si="23"/>
        <v>SERVIÇOS</v>
      </c>
    </row>
    <row r="79" spans="1:15" s="158" customFormat="1" ht="30" customHeight="1">
      <c r="A79" s="184" t="s">
        <v>491</v>
      </c>
      <c r="B79" s="320" t="str">
        <f t="shared" si="21"/>
        <v>5.4.9</v>
      </c>
      <c r="C79" s="321">
        <v>5914539</v>
      </c>
      <c r="D79" s="322"/>
      <c r="E79" s="323" t="s">
        <v>377</v>
      </c>
      <c r="F79" s="324" t="s">
        <v>367</v>
      </c>
      <c r="G79" s="325">
        <f>IF(F79&lt;&gt;"tkm.",INDEX(MEMÓRIA!L:L,MATCH($A79,MEMÓRIA!A:A,0)),INDEX(TRANSPORTES!L:L,MATCH($A79,TRANSPORTES!A:A,0)))</f>
        <v>4134.3100000000004</v>
      </c>
      <c r="H79" s="325">
        <v>0.96</v>
      </c>
      <c r="I79" s="183">
        <f t="shared" si="11"/>
        <v>0.24929999999999999</v>
      </c>
      <c r="J79" s="326">
        <f t="shared" si="18"/>
        <v>1.19</v>
      </c>
      <c r="K79" s="327">
        <f t="shared" si="19"/>
        <v>4919.82</v>
      </c>
      <c r="L79" s="328">
        <f t="shared" si="20"/>
        <v>6.4206465814350586E-4</v>
      </c>
      <c r="M79" s="185"/>
      <c r="O79" s="95" t="str">
        <f t="shared" si="23"/>
        <v>SERVIÇOS</v>
      </c>
    </row>
    <row r="80" spans="1:15" s="158" customFormat="1" ht="30" customHeight="1">
      <c r="A80" s="184" t="s">
        <v>492</v>
      </c>
      <c r="B80" s="320" t="str">
        <f t="shared" si="21"/>
        <v>5.4.10</v>
      </c>
      <c r="C80" s="321">
        <v>5914479</v>
      </c>
      <c r="D80" s="322"/>
      <c r="E80" s="323" t="s">
        <v>372</v>
      </c>
      <c r="F80" s="324" t="s">
        <v>367</v>
      </c>
      <c r="G80" s="325">
        <f>IF(F80&lt;&gt;"tkm.",INDEX(MEMÓRIA!L:L,MATCH($A80,MEMÓRIA!A:A,0)),INDEX(TRANSPORTES!L:L,MATCH($A80,TRANSPORTES!A:A,0)))</f>
        <v>22541.43</v>
      </c>
      <c r="H80" s="325">
        <v>0.71</v>
      </c>
      <c r="I80" s="183">
        <f t="shared" si="11"/>
        <v>0.24929999999999999</v>
      </c>
      <c r="J80" s="326">
        <f t="shared" si="18"/>
        <v>0.88</v>
      </c>
      <c r="K80" s="327">
        <f t="shared" si="19"/>
        <v>19836.45</v>
      </c>
      <c r="L80" s="328">
        <f t="shared" si="20"/>
        <v>2.5887702168027995E-3</v>
      </c>
      <c r="M80" s="185"/>
      <c r="O80" s="95" t="str">
        <f t="shared" si="23"/>
        <v>SERVIÇOS</v>
      </c>
    </row>
    <row r="81" spans="1:15" s="158" customFormat="1" ht="30" customHeight="1">
      <c r="A81" s="184" t="s">
        <v>493</v>
      </c>
      <c r="B81" s="320" t="str">
        <f t="shared" ref="B81:B97" si="24">A81</f>
        <v>5.4.11</v>
      </c>
      <c r="C81" s="321">
        <v>5914389</v>
      </c>
      <c r="D81" s="322"/>
      <c r="E81" s="323" t="s">
        <v>371</v>
      </c>
      <c r="F81" s="324" t="s">
        <v>367</v>
      </c>
      <c r="G81" s="325">
        <f>IF(F81&lt;&gt;"tkm.",INDEX(MEMÓRIA!L:L,MATCH($A81,MEMÓRIA!A:A,0)),INDEX(TRANSPORTES!L:L,MATCH($A81,TRANSPORTES!A:A,0)))</f>
        <v>161266.28</v>
      </c>
      <c r="H81" s="325">
        <v>0.77</v>
      </c>
      <c r="I81" s="183">
        <f t="shared" si="11"/>
        <v>0.24929999999999999</v>
      </c>
      <c r="J81" s="326">
        <f t="shared" si="18"/>
        <v>0.96</v>
      </c>
      <c r="K81" s="327">
        <f t="shared" si="19"/>
        <v>154815.62</v>
      </c>
      <c r="L81" s="328">
        <f t="shared" si="20"/>
        <v>2.0204324168480742E-2</v>
      </c>
      <c r="M81" s="185"/>
      <c r="O81" s="95" t="str">
        <f>IF(I81=$I$6,"MATERIAL",IF(I81=$I$5,"SERVIÇOS"," "))</f>
        <v>SERVIÇOS</v>
      </c>
    </row>
    <row r="82" spans="1:15" s="158" customFormat="1" ht="30" customHeight="1">
      <c r="A82" s="184" t="s">
        <v>494</v>
      </c>
      <c r="B82" s="320" t="str">
        <f t="shared" si="24"/>
        <v>5.4.12</v>
      </c>
      <c r="C82" s="321">
        <v>5914569</v>
      </c>
      <c r="D82" s="322"/>
      <c r="E82" s="323" t="s">
        <v>378</v>
      </c>
      <c r="F82" s="324" t="s">
        <v>367</v>
      </c>
      <c r="G82" s="325">
        <f>IF(F82&lt;&gt;"tkm.",INDEX(MEMÓRIA!L:L,MATCH($A82,MEMÓRIA!A:A,0)),INDEX(TRANSPORTES!L:L,MATCH($A82,TRANSPORTES!A:A,0)))</f>
        <v>187973.39</v>
      </c>
      <c r="H82" s="325">
        <v>0.63</v>
      </c>
      <c r="I82" s="183">
        <f t="shared" si="11"/>
        <v>0.24929999999999999</v>
      </c>
      <c r="J82" s="326">
        <f t="shared" si="18"/>
        <v>0.78</v>
      </c>
      <c r="K82" s="327">
        <f t="shared" si="19"/>
        <v>146619.24</v>
      </c>
      <c r="L82" s="328">
        <f t="shared" si="20"/>
        <v>1.9134649683903202E-2</v>
      </c>
      <c r="M82" s="185"/>
      <c r="O82" s="95" t="str">
        <f>IF(I82=$I$6,"MATERIAL",IF(I82=$I$5,"SERVIÇOS"," "))</f>
        <v>SERVIÇOS</v>
      </c>
    </row>
    <row r="83" spans="1:15" s="158" customFormat="1" ht="30" customHeight="1">
      <c r="A83" s="182" t="s">
        <v>429</v>
      </c>
      <c r="B83" s="242" t="str">
        <f t="shared" si="24"/>
        <v>5.5</v>
      </c>
      <c r="C83" s="243"/>
      <c r="D83" s="244"/>
      <c r="E83" s="245" t="s">
        <v>261</v>
      </c>
      <c r="F83" s="244"/>
      <c r="G83" s="246"/>
      <c r="H83" s="246"/>
      <c r="I83" s="247"/>
      <c r="J83" s="246"/>
      <c r="K83" s="248">
        <f>SUBTOTAL(109,K84:K84)</f>
        <v>6061.26</v>
      </c>
      <c r="L83" s="249">
        <f>SUBTOTAL(109,L84:L84)</f>
        <v>7.9102910875172405E-4</v>
      </c>
      <c r="M83" s="250"/>
      <c r="O83" s="95" t="str">
        <f t="shared" si="23"/>
        <v xml:space="preserve"> </v>
      </c>
    </row>
    <row r="84" spans="1:15" s="158" customFormat="1" ht="60" customHeight="1">
      <c r="A84" s="184" t="s">
        <v>495</v>
      </c>
      <c r="B84" s="320" t="str">
        <f t="shared" si="24"/>
        <v>5.5.1</v>
      </c>
      <c r="C84" s="321">
        <v>5502834</v>
      </c>
      <c r="D84" s="322" t="s">
        <v>9</v>
      </c>
      <c r="E84" s="331" t="s">
        <v>321</v>
      </c>
      <c r="F84" s="324" t="s">
        <v>265</v>
      </c>
      <c r="G84" s="325">
        <f>IF(F84&lt;&gt;"tkm.",INDEX(MEMÓRIA!L:L,MATCH($A84,MEMÓRIA!A:A,0)),INDEX(TRANSPORTES!L:L,MATCH($A84,TRANSPORTES!A:A,0)))</f>
        <v>421.8</v>
      </c>
      <c r="H84" s="325">
        <v>11.51</v>
      </c>
      <c r="I84" s="183">
        <f t="shared" si="11"/>
        <v>0.24929999999999999</v>
      </c>
      <c r="J84" s="326">
        <f>TRUNC(H84*(1+I84),2)</f>
        <v>14.37</v>
      </c>
      <c r="K84" s="327">
        <f>TRUNC(G84*J84,2)</f>
        <v>6061.26</v>
      </c>
      <c r="L84" s="328">
        <f>K84/$K$196</f>
        <v>7.9102910875172405E-4</v>
      </c>
      <c r="M84" s="185"/>
      <c r="O84" s="95" t="str">
        <f t="shared" si="23"/>
        <v>SERVIÇOS</v>
      </c>
    </row>
    <row r="85" spans="1:15" s="158" customFormat="1" ht="30" customHeight="1">
      <c r="A85" s="182">
        <v>6</v>
      </c>
      <c r="B85" s="105">
        <f t="shared" si="24"/>
        <v>6</v>
      </c>
      <c r="C85" s="113"/>
      <c r="D85" s="73"/>
      <c r="E85" s="74" t="s">
        <v>437</v>
      </c>
      <c r="F85" s="73"/>
      <c r="G85" s="75"/>
      <c r="H85" s="75"/>
      <c r="I85" s="240"/>
      <c r="J85" s="75"/>
      <c r="K85" s="76">
        <f>SUBTOTAL(109,K86:K121)</f>
        <v>797649.45</v>
      </c>
      <c r="L85" s="77">
        <f>SUBTOTAL(109,L86:L121)</f>
        <v>0.10409781687797634</v>
      </c>
      <c r="M85" s="241"/>
      <c r="O85" s="95" t="str">
        <f>IF(I85=$I$6,"MATERIAL",IF(I85=$I$5,"SERVIÇOS"," "))</f>
        <v xml:space="preserve"> </v>
      </c>
    </row>
    <row r="86" spans="1:15" s="158" customFormat="1" ht="30" customHeight="1">
      <c r="A86" s="182" t="s">
        <v>430</v>
      </c>
      <c r="B86" s="242" t="str">
        <f t="shared" si="24"/>
        <v>6.1</v>
      </c>
      <c r="C86" s="243"/>
      <c r="D86" s="244"/>
      <c r="E86" s="245" t="s">
        <v>398</v>
      </c>
      <c r="F86" s="244"/>
      <c r="G86" s="246"/>
      <c r="H86" s="246"/>
      <c r="I86" s="247"/>
      <c r="J86" s="246"/>
      <c r="K86" s="248">
        <f>SUBTOTAL(109,K87:K88)</f>
        <v>51611.759999999995</v>
      </c>
      <c r="L86" s="249">
        <f>SUBTOTAL(109,L87:L88)</f>
        <v>6.7356299703210023E-3</v>
      </c>
      <c r="M86" s="250"/>
      <c r="O86" s="95" t="str">
        <f t="shared" ref="O86:O110" si="25">IF(I86=$I$6,"MATERIAL",IF(I86=$I$5,"SERVIÇOS"," "))</f>
        <v xml:space="preserve"> </v>
      </c>
    </row>
    <row r="87" spans="1:15" s="158" customFormat="1" ht="60" customHeight="1">
      <c r="A87" s="279" t="s">
        <v>496</v>
      </c>
      <c r="B87" s="320" t="str">
        <f t="shared" si="24"/>
        <v>6.1.1</v>
      </c>
      <c r="C87" s="321">
        <v>5502834</v>
      </c>
      <c r="D87" s="322" t="s">
        <v>9</v>
      </c>
      <c r="E87" s="319" t="s">
        <v>321</v>
      </c>
      <c r="F87" s="324" t="s">
        <v>265</v>
      </c>
      <c r="G87" s="325">
        <f>IF(F87&lt;&gt;"tkm.",INDEX(MEMÓRIA!L:L,MATCH($A87,MEMÓRIA!A:A,0)),INDEX(TRANSPORTES!L:L,MATCH($A87,TRANSPORTES!A:A,0)))</f>
        <v>2477.46</v>
      </c>
      <c r="H87" s="325">
        <v>11.51</v>
      </c>
      <c r="I87" s="183">
        <f>$I$5</f>
        <v>0.24929999999999999</v>
      </c>
      <c r="J87" s="326">
        <f t="shared" ref="J87:J94" si="26">TRUNC(H87*(1+I87),2)</f>
        <v>14.37</v>
      </c>
      <c r="K87" s="327">
        <f t="shared" ref="K87:K94" si="27">TRUNC(G87*J87,2)</f>
        <v>35601.1</v>
      </c>
      <c r="L87" s="328">
        <f>K87/$K$196</f>
        <v>4.6461472373039601E-3</v>
      </c>
      <c r="M87" s="280" t="s">
        <v>278</v>
      </c>
      <c r="O87" s="95" t="str">
        <f t="shared" si="25"/>
        <v>SERVIÇOS</v>
      </c>
    </row>
    <row r="88" spans="1:15" s="158" customFormat="1" ht="45" customHeight="1">
      <c r="A88" s="279" t="s">
        <v>497</v>
      </c>
      <c r="B88" s="320" t="str">
        <f t="shared" si="24"/>
        <v>6.1.2</v>
      </c>
      <c r="C88" s="321">
        <v>4011228</v>
      </c>
      <c r="D88" s="322" t="s">
        <v>9</v>
      </c>
      <c r="E88" s="319" t="s">
        <v>399</v>
      </c>
      <c r="F88" s="324" t="s">
        <v>4</v>
      </c>
      <c r="G88" s="325">
        <f>IF(F88&lt;&gt;"tkm.",INDEX(MEMÓRIA!L:L,MATCH($A88,MEMÓRIA!A:A,0)),INDEX(TRANSPORTES!L:L,MATCH($A88,TRANSPORTES!A:A,0)))</f>
        <v>1032.28</v>
      </c>
      <c r="H88" s="325">
        <v>12.42</v>
      </c>
      <c r="I88" s="183">
        <f>$I$5</f>
        <v>0.24929999999999999</v>
      </c>
      <c r="J88" s="326">
        <f t="shared" si="26"/>
        <v>15.51</v>
      </c>
      <c r="K88" s="327">
        <f t="shared" si="27"/>
        <v>16010.66</v>
      </c>
      <c r="L88" s="328">
        <f>K88/$K$196</f>
        <v>2.0894827330170422E-3</v>
      </c>
      <c r="M88" s="281"/>
      <c r="O88" s="95" t="str">
        <f t="shared" si="25"/>
        <v>SERVIÇOS</v>
      </c>
    </row>
    <row r="89" spans="1:15" s="158" customFormat="1" ht="30" customHeight="1">
      <c r="A89" s="182" t="s">
        <v>431</v>
      </c>
      <c r="B89" s="242" t="str">
        <f t="shared" si="24"/>
        <v>6.2</v>
      </c>
      <c r="C89" s="243"/>
      <c r="D89" s="244"/>
      <c r="E89" s="245" t="s">
        <v>400</v>
      </c>
      <c r="F89" s="244"/>
      <c r="G89" s="246"/>
      <c r="H89" s="246"/>
      <c r="I89" s="247"/>
      <c r="J89" s="246"/>
      <c r="K89" s="248">
        <f>SUBTOTAL(109,K90:K94)</f>
        <v>115480.01000000001</v>
      </c>
      <c r="L89" s="249">
        <f>SUBTOTAL(109,L90:L94)</f>
        <v>1.5070802009638288E-2</v>
      </c>
      <c r="M89" s="250"/>
      <c r="O89" s="95" t="str">
        <f t="shared" si="25"/>
        <v xml:space="preserve"> </v>
      </c>
    </row>
    <row r="90" spans="1:15" s="158" customFormat="1" ht="45" customHeight="1">
      <c r="A90" s="279" t="s">
        <v>498</v>
      </c>
      <c r="B90" s="320" t="str">
        <f t="shared" si="24"/>
        <v>6.2.1</v>
      </c>
      <c r="C90" s="321">
        <v>5914351</v>
      </c>
      <c r="D90" s="322" t="s">
        <v>9</v>
      </c>
      <c r="E90" s="330" t="s">
        <v>401</v>
      </c>
      <c r="F90" s="324" t="s">
        <v>265</v>
      </c>
      <c r="G90" s="325">
        <f>IF(F90&lt;&gt;"tkm.",INDEX(MEMÓRIA!L:L,MATCH($A90,MEMÓRIA!A:A,0)),INDEX(TRANSPORTES!L:L,MATCH($A90,TRANSPORTES!A:A,0)))</f>
        <v>578.07000000000005</v>
      </c>
      <c r="H90" s="325">
        <v>2.5</v>
      </c>
      <c r="I90" s="183">
        <f t="shared" ref="I90:I96" si="28">$I$5</f>
        <v>0.24929999999999999</v>
      </c>
      <c r="J90" s="326">
        <f t="shared" si="26"/>
        <v>3.12</v>
      </c>
      <c r="K90" s="327">
        <f t="shared" si="27"/>
        <v>1803.57</v>
      </c>
      <c r="L90" s="328">
        <f>K90/$K$196</f>
        <v>2.3537620390337105E-4</v>
      </c>
      <c r="M90" s="281"/>
      <c r="O90" s="95" t="str">
        <f t="shared" si="25"/>
        <v>SERVIÇOS</v>
      </c>
    </row>
    <row r="91" spans="1:15" s="158" customFormat="1" ht="30" customHeight="1">
      <c r="A91" s="279" t="s">
        <v>499</v>
      </c>
      <c r="B91" s="320" t="str">
        <f t="shared" si="24"/>
        <v>6.2.2</v>
      </c>
      <c r="C91" s="321">
        <v>4011256</v>
      </c>
      <c r="D91" s="322" t="s">
        <v>9</v>
      </c>
      <c r="E91" s="319" t="s">
        <v>395</v>
      </c>
      <c r="F91" s="324" t="s">
        <v>265</v>
      </c>
      <c r="G91" s="325">
        <f>IF(F91&lt;&gt;"tkm.",INDEX(MEMÓRIA!L:L,MATCH($A91,MEMÓRIA!A:A,0)),INDEX(TRANSPORTES!L:L,MATCH($A91,TRANSPORTES!A:A,0)))</f>
        <v>1032.28</v>
      </c>
      <c r="H91" s="325">
        <v>12.22</v>
      </c>
      <c r="I91" s="183">
        <f t="shared" si="28"/>
        <v>0.24929999999999999</v>
      </c>
      <c r="J91" s="326">
        <f t="shared" si="26"/>
        <v>15.26</v>
      </c>
      <c r="K91" s="327">
        <f t="shared" si="27"/>
        <v>15752.59</v>
      </c>
      <c r="L91" s="328">
        <f>K91/$K$196</f>
        <v>2.0558031215013577E-3</v>
      </c>
      <c r="M91" s="281"/>
      <c r="O91" s="95" t="str">
        <f t="shared" si="25"/>
        <v>SERVIÇOS</v>
      </c>
    </row>
    <row r="92" spans="1:15" s="158" customFormat="1" ht="30" customHeight="1">
      <c r="A92" s="279" t="s">
        <v>581</v>
      </c>
      <c r="B92" s="320" t="str">
        <f t="shared" si="24"/>
        <v>6.2.2.1</v>
      </c>
      <c r="C92" s="321" t="s">
        <v>154</v>
      </c>
      <c r="D92" s="322" t="s">
        <v>9</v>
      </c>
      <c r="E92" s="319" t="s">
        <v>155</v>
      </c>
      <c r="F92" s="324" t="s">
        <v>265</v>
      </c>
      <c r="G92" s="325">
        <f>G91*0.4126</f>
        <v>425.91872799999999</v>
      </c>
      <c r="H92" s="325">
        <v>123.72</v>
      </c>
      <c r="I92" s="183">
        <f>$I$6</f>
        <v>0.1109</v>
      </c>
      <c r="J92" s="326">
        <f t="shared" si="26"/>
        <v>137.44</v>
      </c>
      <c r="K92" s="327">
        <f t="shared" si="27"/>
        <v>58538.26</v>
      </c>
      <c r="L92" s="328">
        <f>K92/$K$196</f>
        <v>7.6395778494367014E-3</v>
      </c>
      <c r="M92" s="281"/>
      <c r="O92" s="95" t="str">
        <f t="shared" si="25"/>
        <v>MATERIAL</v>
      </c>
    </row>
    <row r="93" spans="1:15" s="158" customFormat="1" ht="30" customHeight="1">
      <c r="A93" s="279" t="s">
        <v>500</v>
      </c>
      <c r="B93" s="320" t="str">
        <f t="shared" si="24"/>
        <v>6.2.3</v>
      </c>
      <c r="C93" s="321">
        <v>5914359</v>
      </c>
      <c r="D93" s="322" t="s">
        <v>9</v>
      </c>
      <c r="E93" s="319" t="s">
        <v>376</v>
      </c>
      <c r="F93" s="324" t="s">
        <v>367</v>
      </c>
      <c r="G93" s="325">
        <f>IF(F93&lt;&gt;"tkm.",INDEX(MEMÓRIA!L:L,MATCH($A93,MEMÓRIA!A:A,0)),INDEX(TRANSPORTES!L:L,MATCH($A93,TRANSPORTES!A:A,0)))</f>
        <v>6388.81</v>
      </c>
      <c r="H93" s="325">
        <v>1.18</v>
      </c>
      <c r="I93" s="183">
        <f>$I$5</f>
        <v>0.24929999999999999</v>
      </c>
      <c r="J93" s="326">
        <f t="shared" si="26"/>
        <v>1.47</v>
      </c>
      <c r="K93" s="327">
        <f t="shared" si="27"/>
        <v>9391.5499999999993</v>
      </c>
      <c r="L93" s="328">
        <f>K93/$K$196</f>
        <v>1.2256510075953273E-3</v>
      </c>
      <c r="M93" s="281"/>
      <c r="O93" s="95" t="str">
        <f t="shared" si="25"/>
        <v>SERVIÇOS</v>
      </c>
    </row>
    <row r="94" spans="1:15" s="158" customFormat="1" ht="30" customHeight="1">
      <c r="A94" s="279" t="s">
        <v>501</v>
      </c>
      <c r="B94" s="320" t="str">
        <f t="shared" si="24"/>
        <v>6.2.4</v>
      </c>
      <c r="C94" s="321">
        <v>5914389</v>
      </c>
      <c r="D94" s="322" t="s">
        <v>9</v>
      </c>
      <c r="E94" s="319" t="s">
        <v>371</v>
      </c>
      <c r="F94" s="324" t="s">
        <v>367</v>
      </c>
      <c r="G94" s="325">
        <f>IF(F94&lt;&gt;"tkm.",INDEX(MEMÓRIA!L:L,MATCH($A94,MEMÓRIA!A:A,0)),INDEX(TRANSPORTES!L:L,MATCH($A94,TRANSPORTES!A:A,0)))</f>
        <v>30921.7</v>
      </c>
      <c r="H94" s="325">
        <v>0.78</v>
      </c>
      <c r="I94" s="183">
        <f>$I$5</f>
        <v>0.24929999999999999</v>
      </c>
      <c r="J94" s="326">
        <f t="shared" si="26"/>
        <v>0.97</v>
      </c>
      <c r="K94" s="327">
        <f t="shared" si="27"/>
        <v>29994.04</v>
      </c>
      <c r="L94" s="328">
        <f>K94/$K$196</f>
        <v>3.9143938272015325E-3</v>
      </c>
      <c r="M94" s="281"/>
      <c r="O94" s="95" t="str">
        <f t="shared" si="25"/>
        <v>SERVIÇOS</v>
      </c>
    </row>
    <row r="95" spans="1:15" s="158" customFormat="1" ht="30" customHeight="1">
      <c r="A95" s="182" t="s">
        <v>432</v>
      </c>
      <c r="B95" s="242" t="str">
        <f t="shared" si="24"/>
        <v>6.3</v>
      </c>
      <c r="C95" s="243"/>
      <c r="D95" s="244"/>
      <c r="E95" s="245" t="s">
        <v>436</v>
      </c>
      <c r="F95" s="244"/>
      <c r="G95" s="246"/>
      <c r="H95" s="246"/>
      <c r="I95" s="247"/>
      <c r="J95" s="246"/>
      <c r="K95" s="248">
        <f>SUBTOTAL(109,K96:K110)</f>
        <v>309913.34999999992</v>
      </c>
      <c r="L95" s="249">
        <f>SUBTOTAL(109,L96:L110)</f>
        <v>4.0445465306019071E-2</v>
      </c>
      <c r="M95" s="250"/>
      <c r="O95" s="95" t="str">
        <f t="shared" si="25"/>
        <v xml:space="preserve"> </v>
      </c>
    </row>
    <row r="96" spans="1:15" s="158" customFormat="1" ht="30" customHeight="1">
      <c r="A96" s="279" t="s">
        <v>502</v>
      </c>
      <c r="B96" s="320" t="str">
        <f t="shared" si="24"/>
        <v>6.3.1</v>
      </c>
      <c r="C96" s="321">
        <v>4011351</v>
      </c>
      <c r="D96" s="322" t="s">
        <v>9</v>
      </c>
      <c r="E96" s="323" t="s">
        <v>402</v>
      </c>
      <c r="F96" s="324" t="s">
        <v>159</v>
      </c>
      <c r="G96" s="325">
        <f>IF(F96&lt;&gt;"tkm.",INDEX(MEMÓRIA!L:L,MATCH($A96,MEMÓRIA!A:A,0)),INDEX(TRANSPORTES!L:L,MATCH($A96,TRANSPORTES!A:A,0)))</f>
        <v>3303.28</v>
      </c>
      <c r="H96" s="325">
        <v>0.37</v>
      </c>
      <c r="I96" s="183">
        <f t="shared" si="28"/>
        <v>0.24929999999999999</v>
      </c>
      <c r="J96" s="326">
        <f t="shared" ref="J96:J110" si="29">TRUNC(H96*(1+I96),2)</f>
        <v>0.46</v>
      </c>
      <c r="K96" s="327">
        <f t="shared" ref="K96:K110" si="30">TRUNC(G96*J96,2)</f>
        <v>1519.5</v>
      </c>
      <c r="L96" s="328">
        <f t="shared" ref="L96:L110" si="31">K96/$K$196</f>
        <v>1.9830344363189249E-4</v>
      </c>
      <c r="M96" s="281"/>
      <c r="O96" s="95" t="str">
        <f t="shared" si="25"/>
        <v>SERVIÇOS</v>
      </c>
    </row>
    <row r="97" spans="1:15" s="158" customFormat="1" ht="30" customHeight="1">
      <c r="A97" s="184" t="s">
        <v>503</v>
      </c>
      <c r="B97" s="320" t="str">
        <f t="shared" si="24"/>
        <v>6.3.1.1</v>
      </c>
      <c r="C97" s="321" t="s">
        <v>205</v>
      </c>
      <c r="D97" s="322" t="s">
        <v>695</v>
      </c>
      <c r="E97" s="323" t="s">
        <v>247</v>
      </c>
      <c r="F97" s="324" t="s">
        <v>12</v>
      </c>
      <c r="G97" s="325">
        <f>G96*0.0012</f>
        <v>3.9639359999999999</v>
      </c>
      <c r="H97" s="325">
        <v>4814.3287448015099</v>
      </c>
      <c r="I97" s="183">
        <f>$I$6</f>
        <v>0.1109</v>
      </c>
      <c r="J97" s="326">
        <f t="shared" si="29"/>
        <v>5348.23</v>
      </c>
      <c r="K97" s="327">
        <f t="shared" si="30"/>
        <v>21200.04</v>
      </c>
      <c r="L97" s="328">
        <f t="shared" si="31"/>
        <v>2.7667265134148512E-3</v>
      </c>
      <c r="M97" s="281" t="s">
        <v>403</v>
      </c>
      <c r="O97" s="95" t="str">
        <f t="shared" si="25"/>
        <v>MATERIAL</v>
      </c>
    </row>
    <row r="98" spans="1:15" s="158" customFormat="1" ht="30" customHeight="1">
      <c r="A98" s="279" t="s">
        <v>504</v>
      </c>
      <c r="B98" s="320" t="str">
        <f t="shared" ref="B98:B110" si="32">A98</f>
        <v>6.3.2</v>
      </c>
      <c r="C98" s="321">
        <v>4011463</v>
      </c>
      <c r="D98" s="322" t="s">
        <v>9</v>
      </c>
      <c r="E98" s="323" t="s">
        <v>404</v>
      </c>
      <c r="F98" s="324" t="s">
        <v>12</v>
      </c>
      <c r="G98" s="325">
        <f>IF(F98&lt;&gt;"tkm.",INDEX(MEMÓRIA!L:L,MATCH($A98,MEMÓRIA!A:A,0)),INDEX(TRANSPORTES!L:L,MATCH($A98,TRANSPORTES!A:A,0)))</f>
        <v>317.11</v>
      </c>
      <c r="H98" s="325">
        <v>17.62</v>
      </c>
      <c r="I98" s="183">
        <f>$I$5</f>
        <v>0.24929999999999999</v>
      </c>
      <c r="J98" s="326">
        <f t="shared" si="29"/>
        <v>22.01</v>
      </c>
      <c r="K98" s="327">
        <f t="shared" si="30"/>
        <v>6979.59</v>
      </c>
      <c r="L98" s="328">
        <f t="shared" si="31"/>
        <v>9.1087642786358703E-4</v>
      </c>
      <c r="M98" s="281"/>
      <c r="O98" s="95" t="str">
        <f t="shared" si="25"/>
        <v>SERVIÇOS</v>
      </c>
    </row>
    <row r="99" spans="1:15" s="158" customFormat="1" ht="30" customHeight="1">
      <c r="A99" s="279" t="s">
        <v>505</v>
      </c>
      <c r="B99" s="320" t="str">
        <f t="shared" si="32"/>
        <v>6.3.3</v>
      </c>
      <c r="C99" s="321">
        <v>6416078</v>
      </c>
      <c r="D99" s="322" t="s">
        <v>9</v>
      </c>
      <c r="E99" s="323" t="s">
        <v>397</v>
      </c>
      <c r="F99" s="324" t="s">
        <v>12</v>
      </c>
      <c r="G99" s="325">
        <f>IF(F99&lt;&gt;"tkm.",INDEX(MEMÓRIA!L:L,MATCH($A99,MEMÓRIA!A:A,0)),INDEX(TRANSPORTES!L:L,MATCH($A99,TRANSPORTES!A:A,0)))</f>
        <v>323.45999999999998</v>
      </c>
      <c r="H99" s="325">
        <v>170</v>
      </c>
      <c r="I99" s="183">
        <f>$I$5</f>
        <v>0.24929999999999999</v>
      </c>
      <c r="J99" s="326">
        <f t="shared" si="29"/>
        <v>212.38</v>
      </c>
      <c r="K99" s="327">
        <f t="shared" si="30"/>
        <v>68696.429999999993</v>
      </c>
      <c r="L99" s="328">
        <f t="shared" si="31"/>
        <v>8.9652771531538306E-3</v>
      </c>
      <c r="M99" s="281"/>
      <c r="O99" s="95" t="str">
        <f t="shared" si="25"/>
        <v>SERVIÇOS</v>
      </c>
    </row>
    <row r="100" spans="1:15" s="158" customFormat="1" ht="30" customHeight="1">
      <c r="A100" s="184" t="s">
        <v>506</v>
      </c>
      <c r="B100" s="320" t="str">
        <f t="shared" si="32"/>
        <v>6.3.3.1</v>
      </c>
      <c r="C100" s="321" t="s">
        <v>199</v>
      </c>
      <c r="D100" s="322" t="s">
        <v>9</v>
      </c>
      <c r="E100" s="323" t="s">
        <v>200</v>
      </c>
      <c r="F100" s="324" t="s">
        <v>4</v>
      </c>
      <c r="G100" s="325">
        <f>0.32475*$G$99*1.02</f>
        <v>107.14450769999999</v>
      </c>
      <c r="H100" s="325">
        <v>142.16</v>
      </c>
      <c r="I100" s="183">
        <f>$I$6</f>
        <v>0.1109</v>
      </c>
      <c r="J100" s="326">
        <f t="shared" si="29"/>
        <v>157.91999999999999</v>
      </c>
      <c r="K100" s="327">
        <f t="shared" si="30"/>
        <v>16920.259999999998</v>
      </c>
      <c r="L100" s="328">
        <f t="shared" si="31"/>
        <v>2.2081907371812866E-3</v>
      </c>
      <c r="M100" s="281"/>
      <c r="O100" s="95" t="str">
        <f t="shared" si="25"/>
        <v>MATERIAL</v>
      </c>
    </row>
    <row r="101" spans="1:15" s="158" customFormat="1" ht="30" customHeight="1">
      <c r="A101" s="184" t="s">
        <v>507</v>
      </c>
      <c r="B101" s="320" t="str">
        <f t="shared" si="32"/>
        <v>6.3.3.2</v>
      </c>
      <c r="C101" s="321" t="s">
        <v>195</v>
      </c>
      <c r="D101" s="322" t="s">
        <v>9</v>
      </c>
      <c r="E101" s="323" t="s">
        <v>196</v>
      </c>
      <c r="F101" s="324" t="s">
        <v>4</v>
      </c>
      <c r="G101" s="325">
        <f>0.06245*$G$99*1.02</f>
        <v>20.604078539999996</v>
      </c>
      <c r="H101" s="325">
        <v>126.6</v>
      </c>
      <c r="I101" s="183">
        <f t="shared" ref="I101:I106" si="33">$I$6</f>
        <v>0.1109</v>
      </c>
      <c r="J101" s="326">
        <f t="shared" si="29"/>
        <v>140.63</v>
      </c>
      <c r="K101" s="327">
        <f t="shared" si="30"/>
        <v>2897.55</v>
      </c>
      <c r="L101" s="328">
        <f t="shared" si="31"/>
        <v>3.781468529750511E-4</v>
      </c>
      <c r="M101" s="281"/>
      <c r="O101" s="95" t="str">
        <f t="shared" si="25"/>
        <v>MATERIAL</v>
      </c>
    </row>
    <row r="102" spans="1:15" s="158" customFormat="1" ht="30" customHeight="1">
      <c r="A102" s="184" t="s">
        <v>508</v>
      </c>
      <c r="B102" s="320" t="str">
        <f t="shared" si="32"/>
        <v>6.3.3.3</v>
      </c>
      <c r="C102" s="321" t="s">
        <v>154</v>
      </c>
      <c r="D102" s="322" t="s">
        <v>9</v>
      </c>
      <c r="E102" s="323" t="s">
        <v>155</v>
      </c>
      <c r="F102" s="324" t="s">
        <v>4</v>
      </c>
      <c r="G102" s="325">
        <f>0.06245*$G$99*1.02</f>
        <v>20.604078539999996</v>
      </c>
      <c r="H102" s="325">
        <v>123.72</v>
      </c>
      <c r="I102" s="183">
        <f t="shared" si="33"/>
        <v>0.1109</v>
      </c>
      <c r="J102" s="326">
        <f t="shared" si="29"/>
        <v>137.44</v>
      </c>
      <c r="K102" s="327">
        <f t="shared" si="30"/>
        <v>2831.82</v>
      </c>
      <c r="L102" s="328">
        <f t="shared" si="31"/>
        <v>3.6956871190896073E-4</v>
      </c>
      <c r="M102" s="281"/>
      <c r="O102" s="95" t="str">
        <f t="shared" si="25"/>
        <v>MATERIAL</v>
      </c>
    </row>
    <row r="103" spans="1:15" s="158" customFormat="1" ht="30" customHeight="1">
      <c r="A103" s="184" t="s">
        <v>509</v>
      </c>
      <c r="B103" s="320" t="str">
        <f t="shared" si="32"/>
        <v>6.3.3.4</v>
      </c>
      <c r="C103" s="321" t="s">
        <v>208</v>
      </c>
      <c r="D103" s="322" t="s">
        <v>9</v>
      </c>
      <c r="E103" s="323" t="s">
        <v>209</v>
      </c>
      <c r="F103" s="324" t="s">
        <v>19</v>
      </c>
      <c r="G103" s="325">
        <f>56.2*$G$99*1.02</f>
        <v>18542.021040000003</v>
      </c>
      <c r="H103" s="325">
        <v>0.47</v>
      </c>
      <c r="I103" s="183">
        <f t="shared" si="33"/>
        <v>0.1109</v>
      </c>
      <c r="J103" s="326">
        <f t="shared" si="29"/>
        <v>0.52</v>
      </c>
      <c r="K103" s="327">
        <f t="shared" si="30"/>
        <v>9641.85</v>
      </c>
      <c r="L103" s="328">
        <f t="shared" si="31"/>
        <v>1.2583165896559148E-3</v>
      </c>
      <c r="M103" s="281"/>
      <c r="O103" s="95" t="str">
        <f t="shared" si="25"/>
        <v>MATERIAL</v>
      </c>
    </row>
    <row r="104" spans="1:15" s="158" customFormat="1" ht="30" customHeight="1">
      <c r="A104" s="184" t="s">
        <v>510</v>
      </c>
      <c r="B104" s="320" t="str">
        <f t="shared" si="32"/>
        <v>6.3.3.5</v>
      </c>
      <c r="C104" s="321" t="s">
        <v>222</v>
      </c>
      <c r="D104" s="322" t="s">
        <v>695</v>
      </c>
      <c r="E104" s="323" t="s">
        <v>252</v>
      </c>
      <c r="F104" s="324" t="s">
        <v>12</v>
      </c>
      <c r="G104" s="325">
        <f>0.06323*$G$99*1.02</f>
        <v>20.861423316</v>
      </c>
      <c r="H104" s="325">
        <v>4266.4632000124402</v>
      </c>
      <c r="I104" s="183">
        <f t="shared" si="33"/>
        <v>0.1109</v>
      </c>
      <c r="J104" s="326">
        <f t="shared" si="29"/>
        <v>4739.6099999999997</v>
      </c>
      <c r="K104" s="327">
        <f t="shared" si="30"/>
        <v>98875.01</v>
      </c>
      <c r="L104" s="328">
        <f t="shared" si="31"/>
        <v>1.2903754506178219E-2</v>
      </c>
      <c r="M104" s="281" t="s">
        <v>403</v>
      </c>
      <c r="O104" s="95" t="str">
        <f t="shared" si="25"/>
        <v>MATERIAL</v>
      </c>
    </row>
    <row r="105" spans="1:15" s="158" customFormat="1" ht="30" customHeight="1">
      <c r="A105" s="184" t="s">
        <v>511</v>
      </c>
      <c r="B105" s="320" t="str">
        <f t="shared" si="32"/>
        <v>6.3.3.6</v>
      </c>
      <c r="C105" s="321" t="s">
        <v>221</v>
      </c>
      <c r="D105" s="322" t="s">
        <v>9</v>
      </c>
      <c r="E105" s="323" t="s">
        <v>251</v>
      </c>
      <c r="F105" s="324" t="s">
        <v>160</v>
      </c>
      <c r="G105" s="325">
        <f>8*$G$99*1.02</f>
        <v>2639.4335999999998</v>
      </c>
      <c r="H105" s="325">
        <v>5.32</v>
      </c>
      <c r="I105" s="183">
        <f t="shared" si="33"/>
        <v>0.1109</v>
      </c>
      <c r="J105" s="326">
        <f t="shared" si="29"/>
        <v>5.9</v>
      </c>
      <c r="K105" s="327">
        <f t="shared" si="30"/>
        <v>15572.65</v>
      </c>
      <c r="L105" s="328">
        <f t="shared" si="31"/>
        <v>2.0323199219968347E-3</v>
      </c>
      <c r="M105" s="281"/>
      <c r="O105" s="95" t="str">
        <f t="shared" si="25"/>
        <v>MATERIAL</v>
      </c>
    </row>
    <row r="106" spans="1:15" s="158" customFormat="1" ht="30" customHeight="1">
      <c r="A106" s="184" t="s">
        <v>512</v>
      </c>
      <c r="B106" s="320" t="str">
        <f t="shared" si="32"/>
        <v>6.3.3.7</v>
      </c>
      <c r="C106" s="321" t="s">
        <v>214</v>
      </c>
      <c r="D106" s="322" t="s">
        <v>9</v>
      </c>
      <c r="E106" s="323" t="s">
        <v>215</v>
      </c>
      <c r="F106" s="324" t="s">
        <v>4</v>
      </c>
      <c r="G106" s="325">
        <f>0.13739*$G$99*1.02</f>
        <v>45.328972788000002</v>
      </c>
      <c r="H106" s="325">
        <v>126.6</v>
      </c>
      <c r="I106" s="183">
        <f t="shared" si="33"/>
        <v>0.1109</v>
      </c>
      <c r="J106" s="326">
        <f t="shared" si="29"/>
        <v>140.63</v>
      </c>
      <c r="K106" s="327">
        <f t="shared" si="30"/>
        <v>6374.61</v>
      </c>
      <c r="L106" s="328">
        <f t="shared" si="31"/>
        <v>8.319230765451123E-4</v>
      </c>
      <c r="M106" s="281"/>
      <c r="O106" s="95" t="str">
        <f t="shared" si="25"/>
        <v>MATERIAL</v>
      </c>
    </row>
    <row r="107" spans="1:15" s="158" customFormat="1" ht="30" customHeight="1">
      <c r="A107" s="279" t="s">
        <v>513</v>
      </c>
      <c r="B107" s="320" t="str">
        <f t="shared" si="32"/>
        <v>6.3.4</v>
      </c>
      <c r="C107" s="321">
        <v>5914359</v>
      </c>
      <c r="D107" s="322" t="s">
        <v>9</v>
      </c>
      <c r="E107" s="319" t="s">
        <v>376</v>
      </c>
      <c r="F107" s="324" t="s">
        <v>367</v>
      </c>
      <c r="G107" s="325">
        <f>IF(F107&lt;&gt;"tkm.",INDEX(MEMÓRIA!L:L,MATCH($A107,MEMÓRIA!A:A,0)),INDEX(TRANSPORTES!L:L,MATCH($A107,TRANSPORTES!A:A,0)))</f>
        <v>927.21</v>
      </c>
      <c r="H107" s="329">
        <v>1.18</v>
      </c>
      <c r="I107" s="183">
        <f>$I$5</f>
        <v>0.24929999999999999</v>
      </c>
      <c r="J107" s="326">
        <f t="shared" si="29"/>
        <v>1.47</v>
      </c>
      <c r="K107" s="327">
        <f t="shared" si="30"/>
        <v>1362.99</v>
      </c>
      <c r="L107" s="328">
        <f t="shared" si="31"/>
        <v>1.778779931792255E-4</v>
      </c>
      <c r="M107" s="281"/>
      <c r="O107" s="95" t="str">
        <f t="shared" si="25"/>
        <v>SERVIÇOS</v>
      </c>
    </row>
    <row r="108" spans="1:15" s="158" customFormat="1" ht="30" customHeight="1">
      <c r="A108" s="279" t="s">
        <v>514</v>
      </c>
      <c r="B108" s="320" t="str">
        <f t="shared" si="32"/>
        <v>6.3.5</v>
      </c>
      <c r="C108" s="321">
        <v>5914389</v>
      </c>
      <c r="D108" s="322" t="s">
        <v>9</v>
      </c>
      <c r="E108" s="319" t="s">
        <v>371</v>
      </c>
      <c r="F108" s="324" t="s">
        <v>367</v>
      </c>
      <c r="G108" s="325">
        <f>IF(F108&lt;&gt;"tkm.",INDEX(MEMÓRIA!L:L,MATCH($A108,MEMÓRIA!A:A,0)),INDEX(TRANSPORTES!L:L,MATCH($A108,TRANSPORTES!A:A,0)))</f>
        <v>42157.29</v>
      </c>
      <c r="H108" s="329">
        <v>0.78</v>
      </c>
      <c r="I108" s="183">
        <f>$I$5</f>
        <v>0.24929999999999999</v>
      </c>
      <c r="J108" s="326">
        <f t="shared" si="29"/>
        <v>0.97</v>
      </c>
      <c r="K108" s="327">
        <f t="shared" si="30"/>
        <v>40892.57</v>
      </c>
      <c r="L108" s="328">
        <f t="shared" si="31"/>
        <v>5.3367143467971164E-3</v>
      </c>
      <c r="M108" s="281"/>
      <c r="O108" s="95" t="str">
        <f t="shared" si="25"/>
        <v>SERVIÇOS</v>
      </c>
    </row>
    <row r="109" spans="1:15" s="158" customFormat="1" ht="30" customHeight="1">
      <c r="A109" s="279" t="s">
        <v>515</v>
      </c>
      <c r="B109" s="320" t="str">
        <f t="shared" si="32"/>
        <v>6.3.6</v>
      </c>
      <c r="C109" s="321"/>
      <c r="D109" s="322" t="s">
        <v>696</v>
      </c>
      <c r="E109" s="319" t="s">
        <v>405</v>
      </c>
      <c r="F109" s="324" t="s">
        <v>12</v>
      </c>
      <c r="G109" s="325">
        <f>G97</f>
        <v>3.9639359999999999</v>
      </c>
      <c r="H109" s="329">
        <v>1243.83</v>
      </c>
      <c r="I109" s="183">
        <f>$I$6</f>
        <v>0.1109</v>
      </c>
      <c r="J109" s="326">
        <f t="shared" si="29"/>
        <v>1381.77</v>
      </c>
      <c r="K109" s="327">
        <f t="shared" si="30"/>
        <v>5477.24</v>
      </c>
      <c r="L109" s="328">
        <f t="shared" si="31"/>
        <v>7.1481115735330485E-4</v>
      </c>
      <c r="M109" s="282" t="s">
        <v>406</v>
      </c>
      <c r="O109" s="95" t="str">
        <f t="shared" si="25"/>
        <v>MATERIAL</v>
      </c>
    </row>
    <row r="110" spans="1:15" s="158" customFormat="1" ht="30" customHeight="1">
      <c r="A110" s="279" t="s">
        <v>516</v>
      </c>
      <c r="B110" s="320" t="str">
        <f t="shared" si="32"/>
        <v>6.3.7</v>
      </c>
      <c r="C110" s="321"/>
      <c r="D110" s="322" t="s">
        <v>697</v>
      </c>
      <c r="E110" s="319" t="s">
        <v>407</v>
      </c>
      <c r="F110" s="324" t="s">
        <v>12</v>
      </c>
      <c r="G110" s="325">
        <f>G104</f>
        <v>20.861423316</v>
      </c>
      <c r="H110" s="329">
        <v>460.47</v>
      </c>
      <c r="I110" s="183">
        <f>$I$6</f>
        <v>0.1109</v>
      </c>
      <c r="J110" s="326">
        <f t="shared" si="29"/>
        <v>511.53</v>
      </c>
      <c r="K110" s="327">
        <f t="shared" si="30"/>
        <v>10671.24</v>
      </c>
      <c r="L110" s="328">
        <f t="shared" si="31"/>
        <v>1.3926578741838738E-3</v>
      </c>
      <c r="M110" s="282" t="s">
        <v>406</v>
      </c>
      <c r="O110" s="95" t="str">
        <f t="shared" si="25"/>
        <v>MATERIAL</v>
      </c>
    </row>
    <row r="111" spans="1:15" s="158" customFormat="1" ht="30" customHeight="1">
      <c r="A111" s="182" t="s">
        <v>632</v>
      </c>
      <c r="B111" s="506" t="str">
        <f t="shared" ref="B111:B123" si="34">A111</f>
        <v>6.4</v>
      </c>
      <c r="C111" s="501"/>
      <c r="D111" s="501"/>
      <c r="E111" s="500" t="s">
        <v>635</v>
      </c>
      <c r="F111" s="501"/>
      <c r="G111" s="502"/>
      <c r="H111" s="502"/>
      <c r="I111" s="503"/>
      <c r="J111" s="502"/>
      <c r="K111" s="504">
        <f>SUBTOTAL(109,K112:K121)</f>
        <v>320644.33000000007</v>
      </c>
      <c r="L111" s="505">
        <f>SUBTOTAL(109,L112:L121)</f>
        <v>4.1845919591997988E-2</v>
      </c>
      <c r="M111" s="250"/>
      <c r="O111" s="95" t="str">
        <f t="shared" ref="O111:O120" si="35">IF(I111=$I$6,"MATERIAL",IF(I111=$I$5,"SERVIÇOS"," "))</f>
        <v xml:space="preserve"> </v>
      </c>
    </row>
    <row r="112" spans="1:15" s="158" customFormat="1" ht="60" customHeight="1">
      <c r="A112" s="279" t="s">
        <v>633</v>
      </c>
      <c r="B112" s="320" t="str">
        <f t="shared" ref="B112:B121" si="36">A112</f>
        <v>6.4.1</v>
      </c>
      <c r="C112" s="321">
        <v>5502114</v>
      </c>
      <c r="D112" s="322" t="s">
        <v>9</v>
      </c>
      <c r="E112" s="323" t="s">
        <v>191</v>
      </c>
      <c r="F112" s="324" t="s">
        <v>4</v>
      </c>
      <c r="G112" s="325">
        <f>IF(F112&lt;&gt;"tkm.",INDEX(MEMÓRIA!L:L,MATCH($A112,MEMÓRIA!A:A,0)),INDEX(TRANSPORTES!L:L,MATCH($A112,TRANSPORTES!A:A,0)))</f>
        <v>228.89</v>
      </c>
      <c r="H112" s="325">
        <v>7.76</v>
      </c>
      <c r="I112" s="183">
        <f t="shared" ref="I112:I121" si="37">$I$5</f>
        <v>0.24929999999999999</v>
      </c>
      <c r="J112" s="326">
        <f t="shared" ref="J112:J121" si="38">TRUNC(H112*(1+I112),2)</f>
        <v>9.69</v>
      </c>
      <c r="K112" s="327">
        <f t="shared" ref="K112:K121" si="39">TRUNC(G112*J112,2)</f>
        <v>2217.94</v>
      </c>
      <c r="L112" s="328">
        <f t="shared" ref="L112:L121" si="40">K112/$K$196</f>
        <v>2.8945385967023339E-4</v>
      </c>
      <c r="M112" s="281"/>
      <c r="O112" s="95" t="str">
        <f t="shared" si="35"/>
        <v>SERVIÇOS</v>
      </c>
    </row>
    <row r="113" spans="1:15" s="450" customFormat="1" ht="30">
      <c r="A113" s="279" t="s">
        <v>634</v>
      </c>
      <c r="B113" s="320" t="str">
        <f t="shared" si="36"/>
        <v>6.4.2</v>
      </c>
      <c r="C113" s="321">
        <v>5505766</v>
      </c>
      <c r="D113" s="322" t="s">
        <v>9</v>
      </c>
      <c r="E113" s="323" t="s">
        <v>190</v>
      </c>
      <c r="F113" s="324" t="s">
        <v>265</v>
      </c>
      <c r="G113" s="325">
        <f>IF(F113&lt;&gt;"tkm.",INDEX(MEMÓRIA!L:L,MATCH($A113,MEMÓRIA!A:A,0)),INDEX(TRANSPORTES!L:L,MATCH($A113,TRANSPORTES!A:A,0)))</f>
        <v>423.58</v>
      </c>
      <c r="H113" s="325">
        <v>330.23</v>
      </c>
      <c r="I113" s="183">
        <f t="shared" si="37"/>
        <v>0.24929999999999999</v>
      </c>
      <c r="J113" s="326">
        <f t="shared" si="38"/>
        <v>412.55</v>
      </c>
      <c r="K113" s="327">
        <f t="shared" si="39"/>
        <v>174747.92</v>
      </c>
      <c r="L113" s="328">
        <f t="shared" si="40"/>
        <v>2.2805603358677498E-2</v>
      </c>
      <c r="M113" s="281"/>
      <c r="O113" s="95" t="str">
        <f t="shared" si="35"/>
        <v>SERVIÇOS</v>
      </c>
    </row>
    <row r="114" spans="1:15" s="450" customFormat="1">
      <c r="A114" s="279" t="s">
        <v>637</v>
      </c>
      <c r="B114" s="320" t="str">
        <f t="shared" si="36"/>
        <v>6.4.3</v>
      </c>
      <c r="C114" s="321">
        <v>5915405</v>
      </c>
      <c r="D114" s="322" t="s">
        <v>9</v>
      </c>
      <c r="E114" s="323" t="s">
        <v>734</v>
      </c>
      <c r="F114" s="324" t="s">
        <v>12</v>
      </c>
      <c r="G114" s="325">
        <f>IF(F114&lt;&gt;"tkm.",INDEX(MEMÓRIA!L:L,MATCH($A114,MEMÓRIA!A:A,0)),INDEX(TRANSPORTES!L:L,MATCH($A114,TRANSPORTES!A:A,0)))</f>
        <v>1016.59</v>
      </c>
      <c r="H114" s="325">
        <v>5.61</v>
      </c>
      <c r="I114" s="183">
        <f t="shared" si="37"/>
        <v>0.24929999999999999</v>
      </c>
      <c r="J114" s="326">
        <f t="shared" si="38"/>
        <v>7</v>
      </c>
      <c r="K114" s="327">
        <f t="shared" si="39"/>
        <v>7116.13</v>
      </c>
      <c r="L114" s="328">
        <f t="shared" si="40"/>
        <v>9.2869567906036132E-4</v>
      </c>
      <c r="M114" s="281"/>
      <c r="O114" s="95" t="str">
        <f t="shared" si="35"/>
        <v>SERVIÇOS</v>
      </c>
    </row>
    <row r="115" spans="1:15" s="450" customFormat="1" ht="30">
      <c r="A115" s="279" t="s">
        <v>639</v>
      </c>
      <c r="B115" s="320" t="str">
        <f t="shared" si="36"/>
        <v>6.4.4</v>
      </c>
      <c r="C115" s="321">
        <v>5915319</v>
      </c>
      <c r="D115" s="322" t="s">
        <v>9</v>
      </c>
      <c r="E115" s="323" t="s">
        <v>744</v>
      </c>
      <c r="F115" s="324" t="s">
        <v>714</v>
      </c>
      <c r="G115" s="325">
        <f>IF(F115&lt;&gt;"tkm.",INDEX(MEMÓRIA!L:L,MATCH($A115,MEMÓRIA!A:A,0)),INDEX(TRANSPORTES!L:L,MATCH($A115,TRANSPORTES!A:A,0)))</f>
        <v>40663.730000000003</v>
      </c>
      <c r="H115" s="325">
        <v>0.85</v>
      </c>
      <c r="I115" s="183">
        <f t="shared" si="37"/>
        <v>0.24929999999999999</v>
      </c>
      <c r="J115" s="326">
        <f t="shared" si="38"/>
        <v>1.06</v>
      </c>
      <c r="K115" s="327">
        <f t="shared" si="39"/>
        <v>43103.55</v>
      </c>
      <c r="L115" s="328">
        <f t="shared" si="40"/>
        <v>5.6252598866465683E-3</v>
      </c>
      <c r="M115" s="281"/>
      <c r="O115" s="95" t="str">
        <f t="shared" si="35"/>
        <v>SERVIÇOS</v>
      </c>
    </row>
    <row r="116" spans="1:15" s="450" customFormat="1" ht="45">
      <c r="A116" s="279" t="s">
        <v>739</v>
      </c>
      <c r="B116" s="320" t="str">
        <f t="shared" si="36"/>
        <v>6.4.5</v>
      </c>
      <c r="C116" s="321">
        <v>5915319</v>
      </c>
      <c r="D116" s="322" t="s">
        <v>9</v>
      </c>
      <c r="E116" s="323" t="s">
        <v>735</v>
      </c>
      <c r="F116" s="324" t="s">
        <v>714</v>
      </c>
      <c r="G116" s="325">
        <f>IF(F116&lt;&gt;"tkm.",INDEX(MEMÓRIA!L:L,MATCH($A116,MEMÓRIA!A:A,0)),INDEX(TRANSPORTES!L:L,MATCH($A116,TRANSPORTES!A:A,0)))</f>
        <v>343.34</v>
      </c>
      <c r="H116" s="325">
        <v>0.85</v>
      </c>
      <c r="I116" s="183">
        <f t="shared" si="37"/>
        <v>0.24929999999999999</v>
      </c>
      <c r="J116" s="326">
        <f t="shared" si="38"/>
        <v>1.06</v>
      </c>
      <c r="K116" s="327">
        <f t="shared" si="39"/>
        <v>363.94</v>
      </c>
      <c r="L116" s="328">
        <f t="shared" si="40"/>
        <v>4.7496252237835437E-5</v>
      </c>
      <c r="M116" s="281"/>
      <c r="O116" s="95" t="str">
        <f t="shared" si="35"/>
        <v>SERVIÇOS</v>
      </c>
    </row>
    <row r="117" spans="1:15" s="450" customFormat="1" ht="30">
      <c r="A117" s="279" t="s">
        <v>740</v>
      </c>
      <c r="B117" s="320" t="str">
        <f t="shared" si="36"/>
        <v>6.4.6</v>
      </c>
      <c r="C117" s="321">
        <v>5914359</v>
      </c>
      <c r="D117" s="322" t="s">
        <v>9</v>
      </c>
      <c r="E117" s="323" t="s">
        <v>736</v>
      </c>
      <c r="F117" s="324" t="s">
        <v>714</v>
      </c>
      <c r="G117" s="325">
        <f>IF(F117&lt;&gt;"tkm.",INDEX(MEMÓRIA!L:L,MATCH($A117,MEMÓRIA!A:A,0)),INDEX(TRANSPORTES!L:L,MATCH($A117,TRANSPORTES!A:A,0)))</f>
        <v>819.04</v>
      </c>
      <c r="H117" s="325">
        <v>1.18</v>
      </c>
      <c r="I117" s="183">
        <f t="shared" si="37"/>
        <v>0.24929999999999999</v>
      </c>
      <c r="J117" s="326">
        <f t="shared" si="38"/>
        <v>1.47</v>
      </c>
      <c r="K117" s="327">
        <f t="shared" si="39"/>
        <v>1203.98</v>
      </c>
      <c r="L117" s="328">
        <f t="shared" si="40"/>
        <v>1.5712627842311676E-4</v>
      </c>
      <c r="M117" s="281"/>
      <c r="O117" s="95" t="str">
        <f t="shared" si="35"/>
        <v>SERVIÇOS</v>
      </c>
    </row>
    <row r="118" spans="1:15" s="450" customFormat="1" ht="30">
      <c r="A118" s="279" t="s">
        <v>741</v>
      </c>
      <c r="B118" s="320" t="str">
        <f t="shared" si="36"/>
        <v>6.4.7</v>
      </c>
      <c r="C118" s="321">
        <v>5914389</v>
      </c>
      <c r="D118" s="322" t="s">
        <v>9</v>
      </c>
      <c r="E118" s="323" t="s">
        <v>753</v>
      </c>
      <c r="F118" s="324" t="s">
        <v>714</v>
      </c>
      <c r="G118" s="325">
        <f>IF(F118&lt;&gt;"tkm.",INDEX(MEMÓRIA!L:L,MATCH($A118,MEMÓRIA!A:A,0)),INDEX(TRANSPORTES!L:L,MATCH($A118,TRANSPORTES!A:A,0)))</f>
        <v>37238.910000000003</v>
      </c>
      <c r="H118" s="325">
        <v>0.77</v>
      </c>
      <c r="I118" s="183">
        <f t="shared" si="37"/>
        <v>0.24929999999999999</v>
      </c>
      <c r="J118" s="326">
        <f t="shared" si="38"/>
        <v>0.96</v>
      </c>
      <c r="K118" s="327">
        <f t="shared" si="39"/>
        <v>35749.35</v>
      </c>
      <c r="L118" s="328">
        <f t="shared" si="40"/>
        <v>4.6654947104980554E-3</v>
      </c>
      <c r="M118" s="281"/>
      <c r="O118" s="95" t="str">
        <f t="shared" si="35"/>
        <v>SERVIÇOS</v>
      </c>
    </row>
    <row r="119" spans="1:15" s="450" customFormat="1" ht="30">
      <c r="A119" s="279" t="s">
        <v>742</v>
      </c>
      <c r="B119" s="320" t="str">
        <f t="shared" si="36"/>
        <v>6.4.8</v>
      </c>
      <c r="C119" s="321">
        <v>5914359</v>
      </c>
      <c r="D119" s="322" t="s">
        <v>9</v>
      </c>
      <c r="E119" s="323" t="s">
        <v>737</v>
      </c>
      <c r="F119" s="324" t="s">
        <v>714</v>
      </c>
      <c r="G119" s="325">
        <f>IF(F119&lt;&gt;"tkm.",INDEX(MEMÓRIA!L:L,MATCH($A119,MEMÓRIA!A:A,0)),INDEX(TRANSPORTES!L:L,MATCH($A119,TRANSPORTES!A:A,0)))</f>
        <v>2264.7399999999998</v>
      </c>
      <c r="H119" s="325">
        <v>1.18</v>
      </c>
      <c r="I119" s="183">
        <f t="shared" si="37"/>
        <v>0.24929999999999999</v>
      </c>
      <c r="J119" s="326">
        <f t="shared" si="38"/>
        <v>1.47</v>
      </c>
      <c r="K119" s="327">
        <f t="shared" si="39"/>
        <v>3329.16</v>
      </c>
      <c r="L119" s="328">
        <f t="shared" si="40"/>
        <v>4.3447442737844764E-4</v>
      </c>
      <c r="M119" s="281"/>
      <c r="O119" s="95" t="str">
        <f t="shared" si="35"/>
        <v>SERVIÇOS</v>
      </c>
    </row>
    <row r="120" spans="1:15" s="450" customFormat="1" ht="30">
      <c r="A120" s="279" t="s">
        <v>743</v>
      </c>
      <c r="B120" s="320" t="str">
        <f t="shared" si="36"/>
        <v>6.4.9</v>
      </c>
      <c r="C120" s="321">
        <v>4011256</v>
      </c>
      <c r="D120" s="322" t="s">
        <v>9</v>
      </c>
      <c r="E120" s="323" t="s">
        <v>738</v>
      </c>
      <c r="F120" s="324" t="s">
        <v>4</v>
      </c>
      <c r="G120" s="325">
        <f>IF(F120&lt;&gt;"tkm.",INDEX(MEMÓRIA!L:L,MATCH($A120,MEMÓRIA!A:A,0)),INDEX(TRANSPORTES!L:L,MATCH($A120,TRANSPORTES!A:A,0)))</f>
        <v>606.69000000000005</v>
      </c>
      <c r="H120" s="325">
        <v>63.26</v>
      </c>
      <c r="I120" s="183">
        <f t="shared" si="37"/>
        <v>0.24929999999999999</v>
      </c>
      <c r="J120" s="326">
        <f t="shared" si="38"/>
        <v>79.03</v>
      </c>
      <c r="K120" s="327">
        <f t="shared" si="39"/>
        <v>47946.71</v>
      </c>
      <c r="L120" s="328">
        <f t="shared" si="40"/>
        <v>6.2573199761893359E-3</v>
      </c>
      <c r="M120" s="281"/>
      <c r="O120" s="95" t="str">
        <f t="shared" si="35"/>
        <v>SERVIÇOS</v>
      </c>
    </row>
    <row r="121" spans="1:15" s="158" customFormat="1" ht="30" customHeight="1">
      <c r="A121" s="279" t="s">
        <v>752</v>
      </c>
      <c r="B121" s="320" t="str">
        <f t="shared" si="36"/>
        <v>6.4.10</v>
      </c>
      <c r="C121" s="321">
        <v>4805754</v>
      </c>
      <c r="D121" s="322" t="s">
        <v>9</v>
      </c>
      <c r="E121" s="323" t="s">
        <v>189</v>
      </c>
      <c r="F121" s="324" t="s">
        <v>4</v>
      </c>
      <c r="G121" s="325">
        <f>IF(F121&lt;&gt;"tkm.",INDEX(MEMÓRIA!L:L,MATCH($A121,MEMÓRIA!A:A,0)),INDEX(TRANSPORTES!L:L,MATCH($A121,TRANSPORTES!A:A,0)))</f>
        <v>606.69000000000005</v>
      </c>
      <c r="H121" s="325">
        <v>6.42</v>
      </c>
      <c r="I121" s="183">
        <f t="shared" si="37"/>
        <v>0.24929999999999999</v>
      </c>
      <c r="J121" s="326">
        <f t="shared" si="38"/>
        <v>8.02</v>
      </c>
      <c r="K121" s="327">
        <f t="shared" si="39"/>
        <v>4865.6499999999996</v>
      </c>
      <c r="L121" s="328">
        <f t="shared" si="40"/>
        <v>6.349951632165302E-4</v>
      </c>
      <c r="M121" s="280"/>
      <c r="O121" s="95" t="str">
        <f>IF(I113=$I$6,"MATERIAL",IF(I113=$I$5,"SERVIÇOS"," "))</f>
        <v>SERVIÇOS</v>
      </c>
    </row>
    <row r="122" spans="1:15" s="158" customFormat="1" ht="30" customHeight="1">
      <c r="A122" s="182">
        <v>7</v>
      </c>
      <c r="B122" s="513">
        <f t="shared" si="34"/>
        <v>7</v>
      </c>
      <c r="C122" s="514"/>
      <c r="D122" s="514"/>
      <c r="E122" s="515" t="s">
        <v>614</v>
      </c>
      <c r="F122" s="514"/>
      <c r="G122" s="516"/>
      <c r="H122" s="516"/>
      <c r="I122" s="517"/>
      <c r="J122" s="516"/>
      <c r="K122" s="518">
        <f>SUBTOTAL(109,K123:K192)</f>
        <v>97691.65</v>
      </c>
      <c r="L122" s="519">
        <f>SUBTOTAL(109,L123:L192)</f>
        <v>1.2749319255729889E-2</v>
      </c>
      <c r="M122" s="241"/>
      <c r="O122" s="95" t="str">
        <f t="shared" ref="O122:O176" si="41">IF(I122=$I$6,"MATERIAL",IF(I122=$I$5,"SERVIÇOS"," "))</f>
        <v xml:space="preserve"> </v>
      </c>
    </row>
    <row r="123" spans="1:15" s="158" customFormat="1" ht="30" customHeight="1">
      <c r="A123" s="182" t="s">
        <v>433</v>
      </c>
      <c r="B123" s="242" t="str">
        <f t="shared" si="34"/>
        <v>7.1</v>
      </c>
      <c r="C123" s="293">
        <v>2003373</v>
      </c>
      <c r="D123" s="292" t="s">
        <v>9</v>
      </c>
      <c r="E123" s="315" t="s">
        <v>587</v>
      </c>
      <c r="F123" s="292" t="s">
        <v>148</v>
      </c>
      <c r="G123" s="291">
        <f>INDEX(MEMÓRIA!L:L,MATCH($A123,MEMÓRIA!A:A,0))</f>
        <v>506.98</v>
      </c>
      <c r="H123" s="246"/>
      <c r="I123" s="247"/>
      <c r="J123" s="246"/>
      <c r="K123" s="248">
        <f>SUBTOTAL(109,K124:K141)</f>
        <v>20260.32</v>
      </c>
      <c r="L123" s="249">
        <f>SUBTOTAL(109,L124:L141)</f>
        <v>2.6440876769227403E-3</v>
      </c>
      <c r="M123" s="250"/>
      <c r="O123" s="95" t="str">
        <f t="shared" si="41"/>
        <v xml:space="preserve"> </v>
      </c>
    </row>
    <row r="124" spans="1:15" s="158" customFormat="1" ht="30" customHeight="1">
      <c r="A124" s="279" t="s">
        <v>517</v>
      </c>
      <c r="B124" s="320" t="str">
        <f t="shared" ref="B124:B166" si="42">A124</f>
        <v>7.1.1</v>
      </c>
      <c r="C124" s="321">
        <v>1107892</v>
      </c>
      <c r="D124" s="322" t="s">
        <v>9</v>
      </c>
      <c r="E124" s="323" t="s">
        <v>408</v>
      </c>
      <c r="F124" s="324" t="s">
        <v>4</v>
      </c>
      <c r="G124" s="325">
        <f>0.042*$G$123</f>
        <v>21.293160000000004</v>
      </c>
      <c r="H124" s="325">
        <v>81.05</v>
      </c>
      <c r="I124" s="183">
        <f>$I$5</f>
        <v>0.24929999999999999</v>
      </c>
      <c r="J124" s="326">
        <f t="shared" ref="J124:J176" si="43">TRUNC(H124*(1+I124),2)</f>
        <v>101.25</v>
      </c>
      <c r="K124" s="327">
        <f t="shared" ref="K124:K176" si="44">TRUNC(G124*J124,2)</f>
        <v>2155.9299999999998</v>
      </c>
      <c r="L124" s="328">
        <f t="shared" ref="L124:L141" si="45">K124/$K$196</f>
        <v>2.813611998876643E-4</v>
      </c>
      <c r="M124" s="281"/>
      <c r="O124" s="95" t="str">
        <f t="shared" si="41"/>
        <v>SERVIÇOS</v>
      </c>
    </row>
    <row r="125" spans="1:15" s="158" customFormat="1" ht="30" customHeight="1">
      <c r="A125" s="279" t="s">
        <v>518</v>
      </c>
      <c r="B125" s="320" t="str">
        <f>A125</f>
        <v>7.1.1.1</v>
      </c>
      <c r="C125" s="321" t="s">
        <v>152</v>
      </c>
      <c r="D125" s="322" t="s">
        <v>9</v>
      </c>
      <c r="E125" s="323" t="s">
        <v>153</v>
      </c>
      <c r="F125" s="324" t="s">
        <v>19</v>
      </c>
      <c r="G125" s="325">
        <f>$G$124*0.84646</f>
        <v>18.023808213600002</v>
      </c>
      <c r="H125" s="325">
        <v>6.09</v>
      </c>
      <c r="I125" s="183">
        <f t="shared" ref="I125:I131" si="46">$I$6</f>
        <v>0.1109</v>
      </c>
      <c r="J125" s="326">
        <f t="shared" si="43"/>
        <v>6.76</v>
      </c>
      <c r="K125" s="327">
        <f t="shared" si="44"/>
        <v>121.84</v>
      </c>
      <c r="L125" s="328">
        <f t="shared" si="45"/>
        <v>1.5900817092536874E-5</v>
      </c>
      <c r="M125" s="281"/>
      <c r="O125" s="95" t="str">
        <f t="shared" si="41"/>
        <v>MATERIAL</v>
      </c>
    </row>
    <row r="126" spans="1:15" s="158" customFormat="1" ht="30" customHeight="1">
      <c r="A126" s="279" t="s">
        <v>519</v>
      </c>
      <c r="B126" s="320" t="str">
        <f>A126</f>
        <v>7.1.1.2</v>
      </c>
      <c r="C126" s="321" t="s">
        <v>149</v>
      </c>
      <c r="D126" s="322" t="s">
        <v>9</v>
      </c>
      <c r="E126" s="323" t="s">
        <v>150</v>
      </c>
      <c r="F126" s="324" t="s">
        <v>4</v>
      </c>
      <c r="G126" s="325">
        <f>$G$124*0.63334</f>
        <v>13.485809954400002</v>
      </c>
      <c r="H126" s="325">
        <v>139.72</v>
      </c>
      <c r="I126" s="183">
        <f t="shared" si="46"/>
        <v>0.1109</v>
      </c>
      <c r="J126" s="326">
        <f t="shared" si="43"/>
        <v>155.21</v>
      </c>
      <c r="K126" s="327">
        <f t="shared" si="44"/>
        <v>2093.13</v>
      </c>
      <c r="L126" s="328">
        <f t="shared" si="45"/>
        <v>2.7316544058520771E-4</v>
      </c>
      <c r="M126" s="281"/>
      <c r="O126" s="95" t="str">
        <f t="shared" si="41"/>
        <v>MATERIAL</v>
      </c>
    </row>
    <row r="127" spans="1:15" s="158" customFormat="1" ht="30" customHeight="1">
      <c r="A127" s="279" t="s">
        <v>520</v>
      </c>
      <c r="B127" s="320" t="str">
        <f>A127</f>
        <v>7.1.1.3</v>
      </c>
      <c r="C127" s="321" t="s">
        <v>154</v>
      </c>
      <c r="D127" s="322" t="s">
        <v>9</v>
      </c>
      <c r="E127" s="323" t="s">
        <v>155</v>
      </c>
      <c r="F127" s="324" t="s">
        <v>4</v>
      </c>
      <c r="G127" s="325">
        <f>$G$124*0.36754</f>
        <v>7.8260880264000008</v>
      </c>
      <c r="H127" s="325">
        <v>123.72</v>
      </c>
      <c r="I127" s="183">
        <f t="shared" si="46"/>
        <v>0.1109</v>
      </c>
      <c r="J127" s="326">
        <f t="shared" si="43"/>
        <v>137.44</v>
      </c>
      <c r="K127" s="327">
        <f t="shared" si="44"/>
        <v>1075.6099999999999</v>
      </c>
      <c r="L127" s="328">
        <f t="shared" si="45"/>
        <v>1.4037325896999004E-4</v>
      </c>
      <c r="M127" s="281"/>
      <c r="O127" s="95" t="str">
        <f t="shared" si="41"/>
        <v>MATERIAL</v>
      </c>
    </row>
    <row r="128" spans="1:15" s="158" customFormat="1" ht="30" customHeight="1">
      <c r="A128" s="279" t="s">
        <v>521</v>
      </c>
      <c r="B128" s="320" t="str">
        <f>A128</f>
        <v>7.1.1.4</v>
      </c>
      <c r="C128" s="321" t="s">
        <v>17</v>
      </c>
      <c r="D128" s="322" t="s">
        <v>9</v>
      </c>
      <c r="E128" s="323" t="s">
        <v>18</v>
      </c>
      <c r="F128" s="324" t="s">
        <v>4</v>
      </c>
      <c r="G128" s="325">
        <f>$G$124*0.36754</f>
        <v>7.8260880264000008</v>
      </c>
      <c r="H128" s="325">
        <v>118.89</v>
      </c>
      <c r="I128" s="183">
        <f t="shared" si="46"/>
        <v>0.1109</v>
      </c>
      <c r="J128" s="326">
        <f t="shared" si="43"/>
        <v>132.07</v>
      </c>
      <c r="K128" s="327">
        <f t="shared" si="44"/>
        <v>1033.5899999999999</v>
      </c>
      <c r="L128" s="328">
        <f t="shared" si="45"/>
        <v>1.348894085577412E-4</v>
      </c>
      <c r="M128" s="281"/>
      <c r="O128" s="95" t="str">
        <f t="shared" si="41"/>
        <v>MATERIAL</v>
      </c>
    </row>
    <row r="129" spans="1:15" s="158" customFormat="1" ht="30" customHeight="1">
      <c r="A129" s="279" t="s">
        <v>522</v>
      </c>
      <c r="B129" s="320" t="str">
        <f>A129</f>
        <v>7.1.1.5</v>
      </c>
      <c r="C129" s="321" t="s">
        <v>156</v>
      </c>
      <c r="D129" s="322" t="s">
        <v>9</v>
      </c>
      <c r="E129" s="323" t="s">
        <v>210</v>
      </c>
      <c r="F129" s="324" t="s">
        <v>19</v>
      </c>
      <c r="G129" s="325">
        <f>$G$124*282.15207</f>
        <v>6007.9091708412006</v>
      </c>
      <c r="H129" s="325">
        <v>0.59</v>
      </c>
      <c r="I129" s="183">
        <f t="shared" si="46"/>
        <v>0.1109</v>
      </c>
      <c r="J129" s="326">
        <f t="shared" si="43"/>
        <v>0.65</v>
      </c>
      <c r="K129" s="327">
        <f t="shared" si="44"/>
        <v>3905.14</v>
      </c>
      <c r="L129" s="328">
        <f t="shared" si="45"/>
        <v>5.0964311277699808E-4</v>
      </c>
      <c r="M129" s="281"/>
      <c r="O129" s="95" t="str">
        <f t="shared" si="41"/>
        <v>MATERIAL</v>
      </c>
    </row>
    <row r="130" spans="1:15" s="158" customFormat="1" ht="45">
      <c r="A130" s="279" t="s">
        <v>523</v>
      </c>
      <c r="B130" s="320" t="str">
        <f t="shared" si="42"/>
        <v>7.1.2</v>
      </c>
      <c r="C130" s="321">
        <v>2003842</v>
      </c>
      <c r="D130" s="322" t="s">
        <v>9</v>
      </c>
      <c r="E130" s="323" t="s">
        <v>409</v>
      </c>
      <c r="F130" s="324" t="s">
        <v>19</v>
      </c>
      <c r="G130" s="325">
        <f>0.0595*$G$123</f>
        <v>30.165309999999998</v>
      </c>
      <c r="H130" s="325">
        <v>41.47</v>
      </c>
      <c r="I130" s="183">
        <f>$I$5</f>
        <v>0.24929999999999999</v>
      </c>
      <c r="J130" s="326">
        <f t="shared" si="43"/>
        <v>51.8</v>
      </c>
      <c r="K130" s="327">
        <f t="shared" si="44"/>
        <v>1562.56</v>
      </c>
      <c r="L130" s="328">
        <f t="shared" si="45"/>
        <v>2.0392301999437311E-4</v>
      </c>
      <c r="M130" s="281"/>
      <c r="O130" s="95" t="str">
        <f t="shared" si="41"/>
        <v>SERVIÇOS</v>
      </c>
    </row>
    <row r="131" spans="1:15" s="158" customFormat="1" ht="30" customHeight="1">
      <c r="A131" s="279" t="s">
        <v>524</v>
      </c>
      <c r="B131" s="320" t="str">
        <f t="shared" si="42"/>
        <v>7.1.2.1</v>
      </c>
      <c r="C131" s="321" t="s">
        <v>224</v>
      </c>
      <c r="D131" s="322" t="s">
        <v>9</v>
      </c>
      <c r="E131" s="323" t="s">
        <v>225</v>
      </c>
      <c r="F131" s="324" t="s">
        <v>19</v>
      </c>
      <c r="G131" s="325">
        <f>$G$130*1</f>
        <v>30.165309999999998</v>
      </c>
      <c r="H131" s="325">
        <v>23.93</v>
      </c>
      <c r="I131" s="183">
        <f t="shared" si="46"/>
        <v>0.1109</v>
      </c>
      <c r="J131" s="326">
        <f t="shared" si="43"/>
        <v>26.58</v>
      </c>
      <c r="K131" s="327">
        <f t="shared" si="44"/>
        <v>801.79</v>
      </c>
      <c r="L131" s="328">
        <f t="shared" si="45"/>
        <v>1.0463818234262262E-4</v>
      </c>
      <c r="M131" s="281"/>
      <c r="O131" s="95" t="str">
        <f t="shared" si="41"/>
        <v>MATERIAL</v>
      </c>
    </row>
    <row r="132" spans="1:15" s="158" customFormat="1" ht="30" customHeight="1">
      <c r="A132" s="279" t="s">
        <v>525</v>
      </c>
      <c r="B132" s="320" t="str">
        <f t="shared" si="42"/>
        <v>7.1.3</v>
      </c>
      <c r="C132" s="321">
        <v>4805750</v>
      </c>
      <c r="D132" s="322" t="s">
        <v>9</v>
      </c>
      <c r="E132" s="323" t="s">
        <v>410</v>
      </c>
      <c r="F132" s="324" t="s">
        <v>4</v>
      </c>
      <c r="G132" s="325">
        <f>0.03*$G$123</f>
        <v>15.2094</v>
      </c>
      <c r="H132" s="325">
        <v>42.11</v>
      </c>
      <c r="I132" s="183">
        <f>$I$5</f>
        <v>0.24929999999999999</v>
      </c>
      <c r="J132" s="326">
        <f t="shared" si="43"/>
        <v>52.6</v>
      </c>
      <c r="K132" s="327">
        <f t="shared" si="44"/>
        <v>800.01</v>
      </c>
      <c r="L132" s="328">
        <f t="shared" si="45"/>
        <v>1.044058821585721E-4</v>
      </c>
      <c r="M132" s="281"/>
      <c r="O132" s="95" t="str">
        <f t="shared" si="41"/>
        <v>SERVIÇOS</v>
      </c>
    </row>
    <row r="133" spans="1:15" s="158" customFormat="1" ht="45">
      <c r="A133" s="279" t="s">
        <v>526</v>
      </c>
      <c r="B133" s="320" t="str">
        <f t="shared" si="42"/>
        <v>7.1.4</v>
      </c>
      <c r="C133" s="321">
        <v>3103302</v>
      </c>
      <c r="D133" s="322" t="s">
        <v>9</v>
      </c>
      <c r="E133" s="323" t="s">
        <v>411</v>
      </c>
      <c r="F133" s="324" t="s">
        <v>159</v>
      </c>
      <c r="G133" s="325">
        <f>0.0867*$G$123</f>
        <v>43.955165999999998</v>
      </c>
      <c r="H133" s="325">
        <v>46.4</v>
      </c>
      <c r="I133" s="183">
        <f>$I$5</f>
        <v>0.24929999999999999</v>
      </c>
      <c r="J133" s="326">
        <f t="shared" si="43"/>
        <v>57.96</v>
      </c>
      <c r="K133" s="327">
        <f t="shared" si="44"/>
        <v>2547.64</v>
      </c>
      <c r="L133" s="328">
        <f t="shared" si="45"/>
        <v>3.3248159600813068E-4</v>
      </c>
      <c r="M133" s="281"/>
      <c r="O133" s="95" t="str">
        <f t="shared" si="41"/>
        <v>SERVIÇOS</v>
      </c>
    </row>
    <row r="134" spans="1:15" s="158" customFormat="1" ht="30" customHeight="1">
      <c r="A134" s="279" t="s">
        <v>527</v>
      </c>
      <c r="B134" s="320" t="str">
        <f t="shared" si="42"/>
        <v>7.1.4.1</v>
      </c>
      <c r="C134" s="321" t="s">
        <v>211</v>
      </c>
      <c r="D134" s="322" t="s">
        <v>9</v>
      </c>
      <c r="E134" s="323" t="s">
        <v>249</v>
      </c>
      <c r="F134" s="324" t="s">
        <v>160</v>
      </c>
      <c r="G134" s="325">
        <f>$G$133*0.01852</f>
        <v>0.81404967431999986</v>
      </c>
      <c r="H134" s="325">
        <v>12.08</v>
      </c>
      <c r="I134" s="183">
        <f>$I$6</f>
        <v>0.1109</v>
      </c>
      <c r="J134" s="326">
        <f t="shared" si="43"/>
        <v>13.41</v>
      </c>
      <c r="K134" s="327">
        <f t="shared" si="44"/>
        <v>10.91</v>
      </c>
      <c r="L134" s="328">
        <f t="shared" si="45"/>
        <v>1.4238174202197743E-6</v>
      </c>
      <c r="M134" s="281"/>
      <c r="O134" s="95" t="str">
        <f t="shared" si="41"/>
        <v>MATERIAL</v>
      </c>
    </row>
    <row r="135" spans="1:15" s="158" customFormat="1" ht="30" customHeight="1">
      <c r="A135" s="279" t="s">
        <v>528</v>
      </c>
      <c r="B135" s="320" t="str">
        <f t="shared" si="42"/>
        <v>7.1.4.2</v>
      </c>
      <c r="C135" s="321" t="s">
        <v>216</v>
      </c>
      <c r="D135" s="322" t="s">
        <v>9</v>
      </c>
      <c r="E135" s="323" t="s">
        <v>217</v>
      </c>
      <c r="F135" s="324" t="s">
        <v>19</v>
      </c>
      <c r="G135" s="325">
        <f>$G$133*0.02718</f>
        <v>1.1947014118799999</v>
      </c>
      <c r="H135" s="325">
        <v>15.02</v>
      </c>
      <c r="I135" s="183">
        <f>$I$6</f>
        <v>0.1109</v>
      </c>
      <c r="J135" s="326">
        <f t="shared" si="43"/>
        <v>16.68</v>
      </c>
      <c r="K135" s="327">
        <f t="shared" si="44"/>
        <v>19.920000000000002</v>
      </c>
      <c r="L135" s="328">
        <f t="shared" si="45"/>
        <v>2.5996739698238227E-6</v>
      </c>
      <c r="M135" s="281"/>
      <c r="O135" s="95" t="str">
        <f t="shared" si="41"/>
        <v>MATERIAL</v>
      </c>
    </row>
    <row r="136" spans="1:15" s="158" customFormat="1" ht="30" customHeight="1">
      <c r="A136" s="279" t="s">
        <v>529</v>
      </c>
      <c r="B136" s="320" t="str">
        <f t="shared" si="42"/>
        <v>7.1.4.3</v>
      </c>
      <c r="C136" s="321" t="s">
        <v>207</v>
      </c>
      <c r="D136" s="322" t="s">
        <v>9</v>
      </c>
      <c r="E136" s="323" t="s">
        <v>248</v>
      </c>
      <c r="F136" s="324" t="s">
        <v>148</v>
      </c>
      <c r="G136" s="325">
        <f>$G$133*1.21474</f>
        <v>53.394098346839996</v>
      </c>
      <c r="H136" s="325">
        <v>5.82</v>
      </c>
      <c r="I136" s="183">
        <f>$I$6</f>
        <v>0.1109</v>
      </c>
      <c r="J136" s="326">
        <f t="shared" si="43"/>
        <v>6.46</v>
      </c>
      <c r="K136" s="327">
        <f t="shared" si="44"/>
        <v>344.92</v>
      </c>
      <c r="L136" s="328">
        <f t="shared" si="45"/>
        <v>4.5014033417250649E-5</v>
      </c>
      <c r="M136" s="281"/>
      <c r="O136" s="95" t="str">
        <f t="shared" si="41"/>
        <v>MATERIAL</v>
      </c>
    </row>
    <row r="137" spans="1:15" s="158" customFormat="1" ht="30" customHeight="1">
      <c r="A137" s="279" t="s">
        <v>530</v>
      </c>
      <c r="B137" s="320" t="str">
        <f t="shared" si="42"/>
        <v>7.1.4.4</v>
      </c>
      <c r="C137" s="321" t="s">
        <v>218</v>
      </c>
      <c r="D137" s="322" t="s">
        <v>9</v>
      </c>
      <c r="E137" s="323" t="s">
        <v>219</v>
      </c>
      <c r="F137" s="324" t="s">
        <v>159</v>
      </c>
      <c r="G137" s="325">
        <f>$G$133*0.40425</f>
        <v>17.768875855499999</v>
      </c>
      <c r="H137" s="325">
        <v>56.27</v>
      </c>
      <c r="I137" s="183">
        <f>$I$6</f>
        <v>0.1109</v>
      </c>
      <c r="J137" s="326">
        <f t="shared" si="43"/>
        <v>62.51</v>
      </c>
      <c r="K137" s="327">
        <f t="shared" si="44"/>
        <v>1110.73</v>
      </c>
      <c r="L137" s="328">
        <f t="shared" si="45"/>
        <v>1.449566199047397E-4</v>
      </c>
      <c r="M137" s="281"/>
      <c r="O137" s="95" t="str">
        <f t="shared" si="41"/>
        <v>MATERIAL</v>
      </c>
    </row>
    <row r="138" spans="1:15" s="158" customFormat="1" ht="30" customHeight="1">
      <c r="A138" s="279" t="s">
        <v>531</v>
      </c>
      <c r="B138" s="320" t="str">
        <f>A138</f>
        <v>7.1.5</v>
      </c>
      <c r="C138" s="321">
        <v>5914449</v>
      </c>
      <c r="D138" s="322" t="s">
        <v>9</v>
      </c>
      <c r="E138" s="319" t="s">
        <v>370</v>
      </c>
      <c r="F138" s="324" t="s">
        <v>367</v>
      </c>
      <c r="G138" s="325">
        <f>IF(F138&lt;&gt;"tkm.",INDEX(MEMÓRIA!L:L,MATCH($A138,MEMÓRIA!A:A,0)),INDEX(TRANSPORTES!L:L,MATCH($A138,TRANSPORTES!A:A,0)))</f>
        <v>29.16</v>
      </c>
      <c r="H138" s="329">
        <v>1.08</v>
      </c>
      <c r="I138" s="183">
        <f>$I$5</f>
        <v>0.24929999999999999</v>
      </c>
      <c r="J138" s="326">
        <f t="shared" si="43"/>
        <v>1.34</v>
      </c>
      <c r="K138" s="327">
        <f t="shared" si="44"/>
        <v>39.07</v>
      </c>
      <c r="L138" s="328">
        <f t="shared" si="45"/>
        <v>5.0988585341875875E-6</v>
      </c>
      <c r="M138" s="281"/>
      <c r="O138" s="95" t="str">
        <f t="shared" si="41"/>
        <v>SERVIÇOS</v>
      </c>
    </row>
    <row r="139" spans="1:15" s="158" customFormat="1" ht="30" customHeight="1">
      <c r="A139" s="279" t="s">
        <v>532</v>
      </c>
      <c r="B139" s="320" t="str">
        <f>A139</f>
        <v>7.1.6</v>
      </c>
      <c r="C139" s="321">
        <v>5914359</v>
      </c>
      <c r="D139" s="322" t="s">
        <v>9</v>
      </c>
      <c r="E139" s="319" t="s">
        <v>376</v>
      </c>
      <c r="F139" s="324" t="s">
        <v>367</v>
      </c>
      <c r="G139" s="325">
        <f>IF(F139&lt;&gt;"tkm.",INDEX(MEMÓRIA!L:L,MATCH($A139,MEMÓRIA!A:A,0)),INDEX(TRANSPORTES!L:L,MATCH($A139,TRANSPORTES!A:A,0)))</f>
        <v>131.12</v>
      </c>
      <c r="H139" s="329">
        <v>1.18</v>
      </c>
      <c r="I139" s="183">
        <f>$I$5</f>
        <v>0.24929999999999999</v>
      </c>
      <c r="J139" s="326">
        <f t="shared" si="43"/>
        <v>1.47</v>
      </c>
      <c r="K139" s="327">
        <f t="shared" si="44"/>
        <v>192.74</v>
      </c>
      <c r="L139" s="328">
        <f t="shared" si="45"/>
        <v>2.5153672738144757E-5</v>
      </c>
      <c r="M139" s="281"/>
      <c r="O139" s="95" t="str">
        <f t="shared" si="41"/>
        <v>SERVIÇOS</v>
      </c>
    </row>
    <row r="140" spans="1:15" s="158" customFormat="1" ht="30" customHeight="1">
      <c r="A140" s="279" t="s">
        <v>533</v>
      </c>
      <c r="B140" s="320" t="str">
        <f>A140</f>
        <v>7.1.7</v>
      </c>
      <c r="C140" s="321">
        <v>5914479</v>
      </c>
      <c r="D140" s="322" t="s">
        <v>9</v>
      </c>
      <c r="E140" s="319" t="s">
        <v>372</v>
      </c>
      <c r="F140" s="324" t="s">
        <v>367</v>
      </c>
      <c r="G140" s="325">
        <f>IF(F140&lt;&gt;"tkm.",INDEX(MEMÓRIA!L:L,MATCH($A140,MEMÓRIA!A:A,0)),INDEX(TRANSPORTES!L:L,MATCH($A140,TRANSPORTES!A:A,0)))</f>
        <v>470.45</v>
      </c>
      <c r="H140" s="329">
        <v>0.71</v>
      </c>
      <c r="I140" s="183">
        <f>$I$5</f>
        <v>0.24929999999999999</v>
      </c>
      <c r="J140" s="326">
        <f t="shared" si="43"/>
        <v>0.88</v>
      </c>
      <c r="K140" s="327">
        <f t="shared" si="44"/>
        <v>413.99</v>
      </c>
      <c r="L140" s="328">
        <f t="shared" si="45"/>
        <v>5.4028063592739173E-5</v>
      </c>
      <c r="M140" s="281"/>
      <c r="O140" s="95" t="str">
        <f t="shared" si="41"/>
        <v>SERVIÇOS</v>
      </c>
    </row>
    <row r="141" spans="1:15" s="158" customFormat="1" ht="30" customHeight="1">
      <c r="A141" s="279" t="s">
        <v>534</v>
      </c>
      <c r="B141" s="320" t="str">
        <f>A141</f>
        <v>7.1.8</v>
      </c>
      <c r="C141" s="321">
        <v>5914389</v>
      </c>
      <c r="D141" s="322" t="s">
        <v>9</v>
      </c>
      <c r="E141" s="319" t="s">
        <v>371</v>
      </c>
      <c r="F141" s="324" t="s">
        <v>367</v>
      </c>
      <c r="G141" s="325">
        <f>IF(F141&lt;&gt;"tkm.",INDEX(MEMÓRIA!L:L,MATCH($A141,MEMÓRIA!A:A,0)),INDEX(TRANSPORTES!L:L,MATCH($A141,TRANSPORTES!A:A,0)))</f>
        <v>2115.42</v>
      </c>
      <c r="H141" s="329">
        <v>0.77</v>
      </c>
      <c r="I141" s="183">
        <f>$I$5</f>
        <v>0.24929999999999999</v>
      </c>
      <c r="J141" s="326">
        <f t="shared" si="43"/>
        <v>0.96</v>
      </c>
      <c r="K141" s="327">
        <f t="shared" si="44"/>
        <v>2030.8</v>
      </c>
      <c r="L141" s="328">
        <f t="shared" si="45"/>
        <v>2.6503101897179814E-4</v>
      </c>
      <c r="M141" s="281"/>
      <c r="O141" s="95" t="str">
        <f t="shared" si="41"/>
        <v>SERVIÇOS</v>
      </c>
    </row>
    <row r="142" spans="1:15" s="158" customFormat="1" ht="30" customHeight="1">
      <c r="A142" s="182" t="s">
        <v>434</v>
      </c>
      <c r="B142" s="242" t="str">
        <f t="shared" si="42"/>
        <v>7.2</v>
      </c>
      <c r="C142" s="293">
        <v>2003405</v>
      </c>
      <c r="D142" s="292" t="s">
        <v>9</v>
      </c>
      <c r="E142" s="315" t="s">
        <v>588</v>
      </c>
      <c r="F142" s="292" t="s">
        <v>148</v>
      </c>
      <c r="G142" s="291">
        <f>INDEX(MEMÓRIA!L:L,MATCH($A142,MEMÓRIA!A:A,0))</f>
        <v>180</v>
      </c>
      <c r="H142" s="246"/>
      <c r="I142" s="247"/>
      <c r="J142" s="246"/>
      <c r="K142" s="248">
        <f>SUBTOTAL(109,K143:K164)</f>
        <v>61507.579999999987</v>
      </c>
      <c r="L142" s="249">
        <f>SUBTOTAL(109,L143:L164)</f>
        <v>8.027091098034957E-3</v>
      </c>
      <c r="M142" s="250"/>
      <c r="O142" s="95" t="str">
        <f t="shared" si="41"/>
        <v xml:space="preserve"> </v>
      </c>
    </row>
    <row r="143" spans="1:15" s="158" customFormat="1" ht="30" customHeight="1">
      <c r="A143" s="279" t="s">
        <v>535</v>
      </c>
      <c r="B143" s="320" t="str">
        <f t="shared" si="42"/>
        <v>7.2.1</v>
      </c>
      <c r="C143" s="321">
        <v>4805755</v>
      </c>
      <c r="D143" s="322" t="s">
        <v>9</v>
      </c>
      <c r="E143" s="323" t="s">
        <v>412</v>
      </c>
      <c r="F143" s="324" t="s">
        <v>4</v>
      </c>
      <c r="G143" s="325">
        <f>0.03*$G$142</f>
        <v>5.3999999999999995</v>
      </c>
      <c r="H143" s="325">
        <v>31.08</v>
      </c>
      <c r="I143" s="183">
        <f>$I$5</f>
        <v>0.24929999999999999</v>
      </c>
      <c r="J143" s="326">
        <f t="shared" ref="J143:J154" si="47">TRUNC(H143*(1+I143),2)</f>
        <v>38.82</v>
      </c>
      <c r="K143" s="327">
        <f t="shared" ref="K143:K154" si="48">TRUNC(G143*J143,2)</f>
        <v>209.62</v>
      </c>
      <c r="L143" s="328">
        <f t="shared" ref="L143:L164" si="49">K143/$K$196</f>
        <v>2.7356609314983418E-5</v>
      </c>
      <c r="M143" s="281"/>
      <c r="O143" s="95" t="str">
        <f t="shared" si="41"/>
        <v>SERVIÇOS</v>
      </c>
    </row>
    <row r="144" spans="1:15" s="158" customFormat="1" ht="30" customHeight="1">
      <c r="A144" s="279" t="s">
        <v>536</v>
      </c>
      <c r="B144" s="320" t="str">
        <f>A144</f>
        <v>7.2.2</v>
      </c>
      <c r="C144" s="321">
        <v>407820</v>
      </c>
      <c r="D144" s="322" t="s">
        <v>9</v>
      </c>
      <c r="E144" s="323" t="s">
        <v>589</v>
      </c>
      <c r="F144" s="324" t="s">
        <v>19</v>
      </c>
      <c r="G144" s="325">
        <f>4.32*$G$142</f>
        <v>777.6</v>
      </c>
      <c r="H144" s="325">
        <v>3.98</v>
      </c>
      <c r="I144" s="183">
        <f>$I$5</f>
        <v>0.24929999999999999</v>
      </c>
      <c r="J144" s="326">
        <f>TRUNC(H144*(1+I144),2)</f>
        <v>4.97</v>
      </c>
      <c r="K144" s="327">
        <f>TRUNC(G144*J144,2)</f>
        <v>3864.67</v>
      </c>
      <c r="L144" s="328">
        <f t="shared" si="49"/>
        <v>5.0436154623288319E-4</v>
      </c>
      <c r="M144" s="281"/>
      <c r="O144" s="95" t="str">
        <f>IF(I144=$I$6,"MATERIAL",IF(I144=$I$5,"SERVIÇOS"," "))</f>
        <v>SERVIÇOS</v>
      </c>
    </row>
    <row r="145" spans="1:15" s="158" customFormat="1" ht="30" customHeight="1">
      <c r="A145" s="279" t="s">
        <v>538</v>
      </c>
      <c r="B145" s="320" t="str">
        <f>A145</f>
        <v>7.2.2.1</v>
      </c>
      <c r="C145" s="321" t="s">
        <v>197</v>
      </c>
      <c r="D145" s="322" t="s">
        <v>9</v>
      </c>
      <c r="E145" s="323" t="s">
        <v>198</v>
      </c>
      <c r="F145" s="324" t="s">
        <v>19</v>
      </c>
      <c r="G145" s="325">
        <f>$G$144*1.1</f>
        <v>855.36000000000013</v>
      </c>
      <c r="H145" s="325">
        <v>9.32</v>
      </c>
      <c r="I145" s="183">
        <f>$I$6</f>
        <v>0.1109</v>
      </c>
      <c r="J145" s="326">
        <f>TRUNC(H145*(1+I145),2)</f>
        <v>10.35</v>
      </c>
      <c r="K145" s="327">
        <f>TRUNC(G145*J145,2)</f>
        <v>8852.9699999999993</v>
      </c>
      <c r="L145" s="328">
        <f t="shared" si="49"/>
        <v>1.1553632361762654E-3</v>
      </c>
      <c r="M145" s="281"/>
      <c r="O145" s="95" t="str">
        <f>IF(I145=$I$6,"MATERIAL",IF(I145=$I$5,"SERVIÇOS"," "))</f>
        <v>MATERIAL</v>
      </c>
    </row>
    <row r="146" spans="1:15" s="158" customFormat="1" ht="30" customHeight="1">
      <c r="A146" s="279" t="s">
        <v>539</v>
      </c>
      <c r="B146" s="320" t="str">
        <f>A146</f>
        <v>7.2.2.2</v>
      </c>
      <c r="C146" s="321" t="s">
        <v>201</v>
      </c>
      <c r="D146" s="322" t="s">
        <v>9</v>
      </c>
      <c r="E146" s="323" t="s">
        <v>202</v>
      </c>
      <c r="F146" s="324" t="s">
        <v>19</v>
      </c>
      <c r="G146" s="325">
        <f>$G$144*0.015</f>
        <v>11.664</v>
      </c>
      <c r="H146" s="325">
        <v>11.39</v>
      </c>
      <c r="I146" s="183">
        <f>$I$6</f>
        <v>0.1109</v>
      </c>
      <c r="J146" s="326">
        <f>TRUNC(H146*(1+I146),2)</f>
        <v>12.65</v>
      </c>
      <c r="K146" s="327">
        <f>TRUNC(G146*J146,2)</f>
        <v>147.54</v>
      </c>
      <c r="L146" s="328">
        <f t="shared" si="49"/>
        <v>1.9254814131918011E-5</v>
      </c>
      <c r="M146" s="281"/>
      <c r="O146" s="95" t="str">
        <f>IF(I146=$I$6,"MATERIAL",IF(I146=$I$5,"SERVIÇOS"," "))</f>
        <v>MATERIAL</v>
      </c>
    </row>
    <row r="147" spans="1:15" s="158" customFormat="1" ht="30">
      <c r="A147" s="279" t="s">
        <v>537</v>
      </c>
      <c r="B147" s="320" t="str">
        <f t="shared" si="42"/>
        <v>7.2.3</v>
      </c>
      <c r="C147" s="321">
        <v>1107892</v>
      </c>
      <c r="D147" s="322" t="s">
        <v>9</v>
      </c>
      <c r="E147" s="323" t="s">
        <v>408</v>
      </c>
      <c r="F147" s="324" t="s">
        <v>4</v>
      </c>
      <c r="G147" s="325">
        <f>0.26*$G$142</f>
        <v>46.800000000000004</v>
      </c>
      <c r="H147" s="325">
        <v>81.05</v>
      </c>
      <c r="I147" s="183">
        <f>$I$5</f>
        <v>0.24929999999999999</v>
      </c>
      <c r="J147" s="326">
        <f t="shared" si="47"/>
        <v>101.25</v>
      </c>
      <c r="K147" s="327">
        <f t="shared" si="48"/>
        <v>4738.5</v>
      </c>
      <c r="L147" s="328">
        <f t="shared" si="49"/>
        <v>6.1840136074348313E-4</v>
      </c>
      <c r="M147" s="281"/>
      <c r="O147" s="95" t="str">
        <f t="shared" si="41"/>
        <v>SERVIÇOS</v>
      </c>
    </row>
    <row r="148" spans="1:15" s="158" customFormat="1" ht="30" customHeight="1">
      <c r="A148" s="279" t="s">
        <v>540</v>
      </c>
      <c r="B148" s="320" t="str">
        <f>A148</f>
        <v>7.2.3.1</v>
      </c>
      <c r="C148" s="321" t="s">
        <v>152</v>
      </c>
      <c r="D148" s="322" t="s">
        <v>9</v>
      </c>
      <c r="E148" s="323" t="s">
        <v>153</v>
      </c>
      <c r="F148" s="324" t="s">
        <v>19</v>
      </c>
      <c r="G148" s="325">
        <f>$G$147*0.84646</f>
        <v>39.614328</v>
      </c>
      <c r="H148" s="325">
        <v>6.09</v>
      </c>
      <c r="I148" s="183">
        <f t="shared" ref="I148:I154" si="50">$I$6</f>
        <v>0.1109</v>
      </c>
      <c r="J148" s="326">
        <f t="shared" si="47"/>
        <v>6.76</v>
      </c>
      <c r="K148" s="327">
        <f t="shared" si="48"/>
        <v>267.79000000000002</v>
      </c>
      <c r="L148" s="328">
        <f t="shared" si="49"/>
        <v>3.4948127127465942E-5</v>
      </c>
      <c r="M148" s="281"/>
      <c r="O148" s="95" t="str">
        <f t="shared" si="41"/>
        <v>MATERIAL</v>
      </c>
    </row>
    <row r="149" spans="1:15" s="158" customFormat="1" ht="30" customHeight="1">
      <c r="A149" s="279" t="s">
        <v>590</v>
      </c>
      <c r="B149" s="320" t="str">
        <f t="shared" ref="B149:B155" si="51">A149</f>
        <v>7.2.3.2</v>
      </c>
      <c r="C149" s="321" t="s">
        <v>149</v>
      </c>
      <c r="D149" s="322" t="s">
        <v>9</v>
      </c>
      <c r="E149" s="323" t="s">
        <v>150</v>
      </c>
      <c r="F149" s="324" t="s">
        <v>4</v>
      </c>
      <c r="G149" s="325">
        <f>$G$147*0.63334</f>
        <v>29.640312000000005</v>
      </c>
      <c r="H149" s="325">
        <v>139.72</v>
      </c>
      <c r="I149" s="183">
        <f t="shared" si="50"/>
        <v>0.1109</v>
      </c>
      <c r="J149" s="326">
        <f t="shared" si="47"/>
        <v>155.21</v>
      </c>
      <c r="K149" s="327">
        <f t="shared" si="48"/>
        <v>4600.47</v>
      </c>
      <c r="L149" s="328">
        <f t="shared" si="49"/>
        <v>6.0038765602185747E-4</v>
      </c>
      <c r="M149" s="281"/>
      <c r="O149" s="95" t="str">
        <f t="shared" si="41"/>
        <v>MATERIAL</v>
      </c>
    </row>
    <row r="150" spans="1:15" s="158" customFormat="1" ht="30" customHeight="1">
      <c r="A150" s="279" t="s">
        <v>591</v>
      </c>
      <c r="B150" s="320" t="str">
        <f t="shared" si="51"/>
        <v>7.2.3.3</v>
      </c>
      <c r="C150" s="321" t="s">
        <v>154</v>
      </c>
      <c r="D150" s="322" t="s">
        <v>9</v>
      </c>
      <c r="E150" s="323" t="s">
        <v>155</v>
      </c>
      <c r="F150" s="324" t="s">
        <v>4</v>
      </c>
      <c r="G150" s="325">
        <f>$G$147*0.36754</f>
        <v>17.200872</v>
      </c>
      <c r="H150" s="325">
        <v>123.72</v>
      </c>
      <c r="I150" s="183">
        <f t="shared" si="50"/>
        <v>0.1109</v>
      </c>
      <c r="J150" s="326">
        <f t="shared" si="47"/>
        <v>137.44</v>
      </c>
      <c r="K150" s="327">
        <f t="shared" si="48"/>
        <v>2364.08</v>
      </c>
      <c r="L150" s="328">
        <f t="shared" si="49"/>
        <v>3.08525965792224E-4</v>
      </c>
      <c r="M150" s="281"/>
      <c r="O150" s="95" t="str">
        <f t="shared" si="41"/>
        <v>MATERIAL</v>
      </c>
    </row>
    <row r="151" spans="1:15" s="158" customFormat="1" ht="30" customHeight="1">
      <c r="A151" s="279" t="s">
        <v>592</v>
      </c>
      <c r="B151" s="320" t="str">
        <f t="shared" si="51"/>
        <v>7.2.3.4</v>
      </c>
      <c r="C151" s="321" t="s">
        <v>17</v>
      </c>
      <c r="D151" s="322" t="s">
        <v>9</v>
      </c>
      <c r="E151" s="323" t="s">
        <v>18</v>
      </c>
      <c r="F151" s="324" t="s">
        <v>4</v>
      </c>
      <c r="G151" s="325">
        <f>$G$147*0.36754</f>
        <v>17.200872</v>
      </c>
      <c r="H151" s="325">
        <v>118.89</v>
      </c>
      <c r="I151" s="183">
        <f t="shared" si="50"/>
        <v>0.1109</v>
      </c>
      <c r="J151" s="326">
        <f t="shared" si="47"/>
        <v>132.07</v>
      </c>
      <c r="K151" s="327">
        <f t="shared" si="48"/>
        <v>2271.71</v>
      </c>
      <c r="L151" s="328">
        <f t="shared" si="49"/>
        <v>2.9647115230865844E-4</v>
      </c>
      <c r="M151" s="281"/>
      <c r="O151" s="95" t="str">
        <f t="shared" si="41"/>
        <v>MATERIAL</v>
      </c>
    </row>
    <row r="152" spans="1:15" s="158" customFormat="1" ht="30" customHeight="1">
      <c r="A152" s="279" t="s">
        <v>593</v>
      </c>
      <c r="B152" s="320" t="str">
        <f t="shared" si="51"/>
        <v>7.2.3.5</v>
      </c>
      <c r="C152" s="321" t="s">
        <v>156</v>
      </c>
      <c r="D152" s="322" t="s">
        <v>9</v>
      </c>
      <c r="E152" s="323" t="s">
        <v>210</v>
      </c>
      <c r="F152" s="324" t="s">
        <v>19</v>
      </c>
      <c r="G152" s="325">
        <f>$G$147*282.15207</f>
        <v>13204.716876</v>
      </c>
      <c r="H152" s="325">
        <v>0.59</v>
      </c>
      <c r="I152" s="183">
        <f t="shared" si="50"/>
        <v>0.1109</v>
      </c>
      <c r="J152" s="326">
        <f t="shared" si="47"/>
        <v>0.65</v>
      </c>
      <c r="K152" s="327">
        <f t="shared" si="48"/>
        <v>8583.06</v>
      </c>
      <c r="L152" s="328">
        <f t="shared" si="49"/>
        <v>1.1201384369194808E-3</v>
      </c>
      <c r="M152" s="281"/>
      <c r="O152" s="95" t="str">
        <f t="shared" si="41"/>
        <v>MATERIAL</v>
      </c>
    </row>
    <row r="153" spans="1:15" s="158" customFormat="1" ht="45">
      <c r="A153" s="279" t="s">
        <v>541</v>
      </c>
      <c r="B153" s="320" t="str">
        <f t="shared" si="51"/>
        <v>7.2.4</v>
      </c>
      <c r="C153" s="321">
        <v>2003842</v>
      </c>
      <c r="D153" s="322" t="s">
        <v>9</v>
      </c>
      <c r="E153" s="323" t="s">
        <v>409</v>
      </c>
      <c r="F153" s="324" t="s">
        <v>19</v>
      </c>
      <c r="G153" s="325">
        <f>1.05449*$G$142</f>
        <v>189.8082</v>
      </c>
      <c r="H153" s="325">
        <v>41.47</v>
      </c>
      <c r="I153" s="183">
        <f>$I$5</f>
        <v>0.24929999999999999</v>
      </c>
      <c r="J153" s="326">
        <f t="shared" si="47"/>
        <v>51.8</v>
      </c>
      <c r="K153" s="327">
        <f t="shared" si="48"/>
        <v>9832.06</v>
      </c>
      <c r="L153" s="328">
        <f t="shared" si="49"/>
        <v>1.2831400829189765E-3</v>
      </c>
      <c r="M153" s="281"/>
      <c r="O153" s="95" t="str">
        <f t="shared" si="41"/>
        <v>SERVIÇOS</v>
      </c>
    </row>
    <row r="154" spans="1:15" s="158" customFormat="1" ht="30" customHeight="1">
      <c r="A154" s="279" t="s">
        <v>594</v>
      </c>
      <c r="B154" s="320" t="str">
        <f t="shared" si="51"/>
        <v>7.2.4.1</v>
      </c>
      <c r="C154" s="321" t="s">
        <v>224</v>
      </c>
      <c r="D154" s="322" t="s">
        <v>9</v>
      </c>
      <c r="E154" s="323" t="s">
        <v>225</v>
      </c>
      <c r="F154" s="324" t="s">
        <v>19</v>
      </c>
      <c r="G154" s="325">
        <f>$G$153*1</f>
        <v>189.8082</v>
      </c>
      <c r="H154" s="325">
        <v>23.93</v>
      </c>
      <c r="I154" s="183">
        <f t="shared" si="50"/>
        <v>0.1109</v>
      </c>
      <c r="J154" s="326">
        <f t="shared" si="47"/>
        <v>26.58</v>
      </c>
      <c r="K154" s="327">
        <f t="shared" si="48"/>
        <v>5045.1000000000004</v>
      </c>
      <c r="L154" s="328">
        <f t="shared" si="49"/>
        <v>6.5841441491757877E-4</v>
      </c>
      <c r="M154" s="281"/>
      <c r="O154" s="95" t="str">
        <f t="shared" si="41"/>
        <v>MATERIAL</v>
      </c>
    </row>
    <row r="155" spans="1:15" s="158" customFormat="1" ht="30" customHeight="1">
      <c r="A155" s="279" t="s">
        <v>542</v>
      </c>
      <c r="B155" s="320" t="str">
        <f t="shared" si="51"/>
        <v>7.2.5</v>
      </c>
      <c r="C155" s="321">
        <v>4805750</v>
      </c>
      <c r="D155" s="322" t="s">
        <v>9</v>
      </c>
      <c r="E155" s="323" t="s">
        <v>410</v>
      </c>
      <c r="F155" s="324" t="s">
        <v>4</v>
      </c>
      <c r="G155" s="325">
        <f>0.09*$G$142</f>
        <v>16.2</v>
      </c>
      <c r="H155" s="325">
        <v>42.11</v>
      </c>
      <c r="I155" s="183">
        <f>$I$5</f>
        <v>0.24929999999999999</v>
      </c>
      <c r="J155" s="326">
        <f t="shared" si="43"/>
        <v>52.6</v>
      </c>
      <c r="K155" s="327">
        <f t="shared" si="44"/>
        <v>852.12</v>
      </c>
      <c r="L155" s="328">
        <f t="shared" si="49"/>
        <v>1.1120653529951184E-4</v>
      </c>
      <c r="M155" s="281"/>
      <c r="O155" s="95" t="str">
        <f t="shared" si="41"/>
        <v>SERVIÇOS</v>
      </c>
    </row>
    <row r="156" spans="1:15" s="158" customFormat="1" ht="45">
      <c r="A156" s="279" t="s">
        <v>543</v>
      </c>
      <c r="B156" s="320" t="str">
        <f t="shared" si="42"/>
        <v>7.2.6</v>
      </c>
      <c r="C156" s="321">
        <v>3103302</v>
      </c>
      <c r="D156" s="322" t="s">
        <v>9</v>
      </c>
      <c r="E156" s="323" t="s">
        <v>411</v>
      </c>
      <c r="F156" s="324" t="s">
        <v>159</v>
      </c>
      <c r="G156" s="325">
        <f>0.26*$G$142</f>
        <v>46.800000000000004</v>
      </c>
      <c r="H156" s="325">
        <v>46.4</v>
      </c>
      <c r="I156" s="183">
        <f>$I$5</f>
        <v>0.24929999999999999</v>
      </c>
      <c r="J156" s="326">
        <f t="shared" si="43"/>
        <v>57.96</v>
      </c>
      <c r="K156" s="327">
        <f t="shared" si="44"/>
        <v>2712.52</v>
      </c>
      <c r="L156" s="328">
        <f t="shared" si="49"/>
        <v>3.5399937934872065E-4</v>
      </c>
      <c r="M156" s="281"/>
      <c r="O156" s="95" t="str">
        <f t="shared" si="41"/>
        <v>SERVIÇOS</v>
      </c>
    </row>
    <row r="157" spans="1:15" s="158" customFormat="1" ht="30" customHeight="1">
      <c r="A157" s="279" t="s">
        <v>595</v>
      </c>
      <c r="B157" s="320" t="str">
        <f t="shared" si="42"/>
        <v>7.2.6.1</v>
      </c>
      <c r="C157" s="321" t="s">
        <v>211</v>
      </c>
      <c r="D157" s="322" t="s">
        <v>9</v>
      </c>
      <c r="E157" s="323" t="s">
        <v>249</v>
      </c>
      <c r="F157" s="324" t="s">
        <v>160</v>
      </c>
      <c r="G157" s="325">
        <f>$G$156*0.01852</f>
        <v>0.86673599999999995</v>
      </c>
      <c r="H157" s="325">
        <v>12.08</v>
      </c>
      <c r="I157" s="183">
        <f>$I$6</f>
        <v>0.1109</v>
      </c>
      <c r="J157" s="326">
        <f t="shared" si="43"/>
        <v>13.41</v>
      </c>
      <c r="K157" s="327">
        <f t="shared" si="44"/>
        <v>11.62</v>
      </c>
      <c r="L157" s="328">
        <f t="shared" si="49"/>
        <v>1.5164764823972297E-6</v>
      </c>
      <c r="M157" s="281"/>
      <c r="O157" s="95" t="str">
        <f t="shared" si="41"/>
        <v>MATERIAL</v>
      </c>
    </row>
    <row r="158" spans="1:15" s="158" customFormat="1" ht="30" customHeight="1">
      <c r="A158" s="279" t="s">
        <v>596</v>
      </c>
      <c r="B158" s="320" t="str">
        <f t="shared" si="42"/>
        <v>7.2.6.2</v>
      </c>
      <c r="C158" s="321" t="s">
        <v>216</v>
      </c>
      <c r="D158" s="322" t="s">
        <v>9</v>
      </c>
      <c r="E158" s="323" t="s">
        <v>217</v>
      </c>
      <c r="F158" s="324" t="s">
        <v>19</v>
      </c>
      <c r="G158" s="325">
        <f>$G$156*0.02718</f>
        <v>1.272024</v>
      </c>
      <c r="H158" s="325">
        <v>15.02</v>
      </c>
      <c r="I158" s="183">
        <f>$I$6</f>
        <v>0.1109</v>
      </c>
      <c r="J158" s="326">
        <f t="shared" si="43"/>
        <v>16.68</v>
      </c>
      <c r="K158" s="327">
        <f t="shared" si="44"/>
        <v>21.21</v>
      </c>
      <c r="L158" s="328">
        <f t="shared" si="49"/>
        <v>2.7680263503997628E-6</v>
      </c>
      <c r="M158" s="281"/>
      <c r="O158" s="95" t="str">
        <f t="shared" si="41"/>
        <v>MATERIAL</v>
      </c>
    </row>
    <row r="159" spans="1:15" s="158" customFormat="1" ht="30" customHeight="1">
      <c r="A159" s="279" t="s">
        <v>597</v>
      </c>
      <c r="B159" s="320" t="str">
        <f t="shared" si="42"/>
        <v>7.2.6.3</v>
      </c>
      <c r="C159" s="321" t="s">
        <v>207</v>
      </c>
      <c r="D159" s="322" t="s">
        <v>9</v>
      </c>
      <c r="E159" s="323" t="s">
        <v>248</v>
      </c>
      <c r="F159" s="324" t="s">
        <v>148</v>
      </c>
      <c r="G159" s="325">
        <f>$G$156*1.21474</f>
        <v>56.849831999999999</v>
      </c>
      <c r="H159" s="325">
        <v>5.82</v>
      </c>
      <c r="I159" s="183">
        <f>$I$6</f>
        <v>0.1109</v>
      </c>
      <c r="J159" s="326">
        <f t="shared" si="43"/>
        <v>6.46</v>
      </c>
      <c r="K159" s="327">
        <f t="shared" si="44"/>
        <v>367.24</v>
      </c>
      <c r="L159" s="328">
        <f t="shared" si="49"/>
        <v>4.7926921118378547E-5</v>
      </c>
      <c r="M159" s="281"/>
      <c r="O159" s="95" t="str">
        <f t="shared" si="41"/>
        <v>MATERIAL</v>
      </c>
    </row>
    <row r="160" spans="1:15" s="158" customFormat="1" ht="30" customHeight="1">
      <c r="A160" s="279" t="s">
        <v>598</v>
      </c>
      <c r="B160" s="320" t="str">
        <f t="shared" si="42"/>
        <v>7.2.6.4</v>
      </c>
      <c r="C160" s="321" t="s">
        <v>218</v>
      </c>
      <c r="D160" s="322" t="s">
        <v>9</v>
      </c>
      <c r="E160" s="323" t="s">
        <v>219</v>
      </c>
      <c r="F160" s="324" t="s">
        <v>159</v>
      </c>
      <c r="G160" s="325">
        <f>$G$156*0.40425</f>
        <v>18.918900000000001</v>
      </c>
      <c r="H160" s="325">
        <v>56.27</v>
      </c>
      <c r="I160" s="183">
        <f>$I$6</f>
        <v>0.1109</v>
      </c>
      <c r="J160" s="326">
        <f t="shared" si="43"/>
        <v>62.51</v>
      </c>
      <c r="K160" s="327">
        <f t="shared" si="44"/>
        <v>1182.6199999999999</v>
      </c>
      <c r="L160" s="328">
        <f t="shared" si="49"/>
        <v>1.5433867621451048E-4</v>
      </c>
      <c r="M160" s="281"/>
      <c r="O160" s="95" t="str">
        <f t="shared" si="41"/>
        <v>MATERIAL</v>
      </c>
    </row>
    <row r="161" spans="1:15" s="158" customFormat="1" ht="30" customHeight="1">
      <c r="A161" s="279" t="s">
        <v>544</v>
      </c>
      <c r="B161" s="320" t="str">
        <f t="shared" si="42"/>
        <v>7.2.7</v>
      </c>
      <c r="C161" s="321">
        <v>5914449</v>
      </c>
      <c r="D161" s="322" t="s">
        <v>9</v>
      </c>
      <c r="E161" s="319" t="s">
        <v>370</v>
      </c>
      <c r="F161" s="324" t="s">
        <v>367</v>
      </c>
      <c r="G161" s="325">
        <f>IF(F161&lt;&gt;"tkm.",INDEX(MEMÓRIA!L:L,MATCH($A161,MEMÓRIA!A:A,0)),INDEX(TRANSPORTES!L:L,MATCH($A161,TRANSPORTES!A:A,0)))</f>
        <v>44.77</v>
      </c>
      <c r="H161" s="329">
        <v>1.08</v>
      </c>
      <c r="I161" s="183">
        <f>$I$5</f>
        <v>0.24929999999999999</v>
      </c>
      <c r="J161" s="326">
        <f>TRUNC(H161*(1+I161),2)</f>
        <v>1.34</v>
      </c>
      <c r="K161" s="327">
        <f>TRUNC(G161*J161,2)</f>
        <v>59.99</v>
      </c>
      <c r="L161" s="328">
        <f t="shared" si="49"/>
        <v>7.8290382253881079E-6</v>
      </c>
      <c r="M161" s="281"/>
      <c r="O161" s="95" t="str">
        <f>IF(I161=$I$6,"MATERIAL",IF(I161=$I$5,"SERVIÇOS"," "))</f>
        <v>SERVIÇOS</v>
      </c>
    </row>
    <row r="162" spans="1:15" s="158" customFormat="1" ht="30" customHeight="1">
      <c r="A162" s="279" t="s">
        <v>545</v>
      </c>
      <c r="B162" s="320" t="str">
        <f t="shared" si="42"/>
        <v>7.2.8</v>
      </c>
      <c r="C162" s="321">
        <v>5914359</v>
      </c>
      <c r="D162" s="322" t="s">
        <v>9</v>
      </c>
      <c r="E162" s="319" t="s">
        <v>376</v>
      </c>
      <c r="F162" s="324" t="s">
        <v>367</v>
      </c>
      <c r="G162" s="325">
        <f>IF(F162&lt;&gt;"tkm.",INDEX(MEMÓRIA!L:L,MATCH($A162,MEMÓRIA!A:A,0)),INDEX(TRANSPORTES!L:L,MATCH($A162,TRANSPORTES!A:A,0)))</f>
        <v>288.19</v>
      </c>
      <c r="H162" s="329">
        <v>1.18</v>
      </c>
      <c r="I162" s="183">
        <f>$I$5</f>
        <v>0.24929999999999999</v>
      </c>
      <c r="J162" s="326">
        <f>TRUNC(H162*(1+I162),2)</f>
        <v>1.47</v>
      </c>
      <c r="K162" s="327">
        <f>TRUNC(G162*J162,2)</f>
        <v>423.63</v>
      </c>
      <c r="L162" s="328">
        <f t="shared" si="49"/>
        <v>5.5286138746810542E-5</v>
      </c>
      <c r="M162" s="281"/>
      <c r="O162" s="95" t="str">
        <f>IF(I162=$I$6,"MATERIAL",IF(I162=$I$5,"SERVIÇOS"," "))</f>
        <v>SERVIÇOS</v>
      </c>
    </row>
    <row r="163" spans="1:15" s="158" customFormat="1" ht="30" customHeight="1">
      <c r="A163" s="279" t="s">
        <v>546</v>
      </c>
      <c r="B163" s="320" t="str">
        <f t="shared" si="42"/>
        <v>7.2.9</v>
      </c>
      <c r="C163" s="321">
        <v>5914479</v>
      </c>
      <c r="D163" s="322" t="s">
        <v>9</v>
      </c>
      <c r="E163" s="319" t="s">
        <v>372</v>
      </c>
      <c r="F163" s="324" t="s">
        <v>367</v>
      </c>
      <c r="G163" s="325">
        <f>IF(F163&lt;&gt;"tkm.",INDEX(MEMÓRIA!L:L,MATCH($A163,MEMÓRIA!A:A,0)),INDEX(TRANSPORTES!L:L,MATCH($A163,TRANSPORTES!A:A,0)))</f>
        <v>722.27</v>
      </c>
      <c r="H163" s="329">
        <v>0.71</v>
      </c>
      <c r="I163" s="183">
        <f>$I$5</f>
        <v>0.24929999999999999</v>
      </c>
      <c r="J163" s="326">
        <f>TRUNC(H163*(1+I163),2)</f>
        <v>0.88</v>
      </c>
      <c r="K163" s="327">
        <f>TRUNC(G163*J163,2)</f>
        <v>635.59</v>
      </c>
      <c r="L163" s="328">
        <f t="shared" si="49"/>
        <v>8.2948131449815435E-5</v>
      </c>
      <c r="M163" s="281"/>
      <c r="O163" s="95" t="str">
        <f>IF(I163=$I$6,"MATERIAL",IF(I163=$I$5,"SERVIÇOS"," "))</f>
        <v>SERVIÇOS</v>
      </c>
    </row>
    <row r="164" spans="1:15" s="158" customFormat="1" ht="30" customHeight="1">
      <c r="A164" s="279" t="s">
        <v>599</v>
      </c>
      <c r="B164" s="320" t="str">
        <f t="shared" si="42"/>
        <v>7.2.10</v>
      </c>
      <c r="C164" s="321">
        <v>5914389</v>
      </c>
      <c r="D164" s="322" t="s">
        <v>9</v>
      </c>
      <c r="E164" s="319" t="s">
        <v>371</v>
      </c>
      <c r="F164" s="324" t="s">
        <v>367</v>
      </c>
      <c r="G164" s="325">
        <f>IF(F164&lt;&gt;"tkm.",INDEX(MEMÓRIA!L:L,MATCH($A164,MEMÓRIA!A:A,0)),INDEX(TRANSPORTES!L:L,MATCH($A164,TRANSPORTES!A:A,0)))</f>
        <v>4649.45</v>
      </c>
      <c r="H164" s="329">
        <v>0.77</v>
      </c>
      <c r="I164" s="183">
        <f>$I$5</f>
        <v>0.24929999999999999</v>
      </c>
      <c r="J164" s="326">
        <f>TRUNC(H164*(1+I164),2)</f>
        <v>0.96</v>
      </c>
      <c r="K164" s="327">
        <f>TRUNC(G164*J164,2)</f>
        <v>4463.47</v>
      </c>
      <c r="L164" s="328">
        <f t="shared" si="49"/>
        <v>5.8250837219324988E-4</v>
      </c>
      <c r="M164" s="281"/>
      <c r="O164" s="95" t="str">
        <f>IF(I164=$I$6,"MATERIAL",IF(I164=$I$5,"SERVIÇOS"," "))</f>
        <v>SERVIÇOS</v>
      </c>
    </row>
    <row r="165" spans="1:15" s="158" customFormat="1" ht="30" customHeight="1">
      <c r="A165" s="182" t="s">
        <v>435</v>
      </c>
      <c r="B165" s="242" t="str">
        <f>A165</f>
        <v>7.3</v>
      </c>
      <c r="C165" s="293">
        <v>2003387</v>
      </c>
      <c r="D165" s="292" t="s">
        <v>9</v>
      </c>
      <c r="E165" s="315" t="s">
        <v>586</v>
      </c>
      <c r="F165" s="292" t="s">
        <v>240</v>
      </c>
      <c r="G165" s="291">
        <f>INDEX(MEMÓRIA!L:L,MATCH($A165,MEMÓRIA!A:A,0))</f>
        <v>4</v>
      </c>
      <c r="H165" s="246"/>
      <c r="I165" s="247"/>
      <c r="J165" s="246"/>
      <c r="K165" s="248">
        <f>SUBTOTAL(109,K166:K176)</f>
        <v>362.39</v>
      </c>
      <c r="L165" s="249">
        <f>SUBTOTAL(109,L166:L176)</f>
        <v>4.7293968369701561E-5</v>
      </c>
      <c r="M165" s="250"/>
      <c r="O165" s="95" t="str">
        <f t="shared" si="41"/>
        <v xml:space="preserve"> </v>
      </c>
    </row>
    <row r="166" spans="1:15" s="158" customFormat="1" ht="30" customHeight="1">
      <c r="A166" s="279" t="s">
        <v>547</v>
      </c>
      <c r="B166" s="320" t="str">
        <f t="shared" si="42"/>
        <v>7.3.1</v>
      </c>
      <c r="C166" s="321">
        <v>1107892</v>
      </c>
      <c r="D166" s="322" t="s">
        <v>9</v>
      </c>
      <c r="E166" s="323" t="s">
        <v>408</v>
      </c>
      <c r="F166" s="324" t="s">
        <v>4</v>
      </c>
      <c r="G166" s="325">
        <f>0.14*$G$165</f>
        <v>0.56000000000000005</v>
      </c>
      <c r="H166" s="325">
        <v>81.05</v>
      </c>
      <c r="I166" s="183">
        <f>$I$5</f>
        <v>0.24929999999999999</v>
      </c>
      <c r="J166" s="326">
        <f t="shared" ref="J166:J171" si="52">TRUNC(H166*(1+I166),2)</f>
        <v>101.25</v>
      </c>
      <c r="K166" s="327">
        <f t="shared" ref="K166:K171" si="53">TRUNC(G166*J166,2)</f>
        <v>56.7</v>
      </c>
      <c r="L166" s="328">
        <f t="shared" ref="L166:L176" si="54">K166/$K$196</f>
        <v>7.399674402058772E-6</v>
      </c>
      <c r="M166" s="281"/>
      <c r="O166" s="95" t="str">
        <f t="shared" si="41"/>
        <v>SERVIÇOS</v>
      </c>
    </row>
    <row r="167" spans="1:15" s="158" customFormat="1" ht="30" customHeight="1">
      <c r="A167" s="279" t="s">
        <v>548</v>
      </c>
      <c r="B167" s="320" t="str">
        <f>A167</f>
        <v>7.3.1.1</v>
      </c>
      <c r="C167" s="321" t="s">
        <v>152</v>
      </c>
      <c r="D167" s="322" t="s">
        <v>9</v>
      </c>
      <c r="E167" s="323" t="s">
        <v>153</v>
      </c>
      <c r="F167" s="324" t="s">
        <v>19</v>
      </c>
      <c r="G167" s="325">
        <f>$G$166*0.84646</f>
        <v>0.47401760000000004</v>
      </c>
      <c r="H167" s="325">
        <v>6.09</v>
      </c>
      <c r="I167" s="183">
        <f>$I$6</f>
        <v>0.1109</v>
      </c>
      <c r="J167" s="326">
        <f t="shared" si="52"/>
        <v>6.76</v>
      </c>
      <c r="K167" s="327">
        <f t="shared" si="53"/>
        <v>3.2</v>
      </c>
      <c r="L167" s="328">
        <f t="shared" si="54"/>
        <v>4.1761830840543339E-7</v>
      </c>
      <c r="M167" s="281"/>
      <c r="O167" s="95" t="str">
        <f t="shared" si="41"/>
        <v>MATERIAL</v>
      </c>
    </row>
    <row r="168" spans="1:15" s="158" customFormat="1" ht="30" customHeight="1">
      <c r="A168" s="279" t="s">
        <v>549</v>
      </c>
      <c r="B168" s="320" t="str">
        <f t="shared" ref="B168:B178" si="55">A168</f>
        <v>7.3.1.2</v>
      </c>
      <c r="C168" s="321" t="s">
        <v>149</v>
      </c>
      <c r="D168" s="322" t="s">
        <v>9</v>
      </c>
      <c r="E168" s="323" t="s">
        <v>150</v>
      </c>
      <c r="F168" s="324" t="s">
        <v>4</v>
      </c>
      <c r="G168" s="325">
        <f>$G$166*0.63334</f>
        <v>0.35467040000000005</v>
      </c>
      <c r="H168" s="325">
        <v>139.72</v>
      </c>
      <c r="I168" s="183">
        <f>$I$6</f>
        <v>0.1109</v>
      </c>
      <c r="J168" s="326">
        <f t="shared" si="52"/>
        <v>155.21</v>
      </c>
      <c r="K168" s="327">
        <f t="shared" si="53"/>
        <v>55.04</v>
      </c>
      <c r="L168" s="328">
        <f t="shared" si="54"/>
        <v>7.1830349045734532E-6</v>
      </c>
      <c r="M168" s="281"/>
      <c r="O168" s="95" t="str">
        <f t="shared" si="41"/>
        <v>MATERIAL</v>
      </c>
    </row>
    <row r="169" spans="1:15" s="158" customFormat="1" ht="30" customHeight="1">
      <c r="A169" s="279" t="s">
        <v>550</v>
      </c>
      <c r="B169" s="320" t="str">
        <f t="shared" si="55"/>
        <v>7.3.1.3</v>
      </c>
      <c r="C169" s="321" t="s">
        <v>154</v>
      </c>
      <c r="D169" s="322" t="s">
        <v>9</v>
      </c>
      <c r="E169" s="323" t="s">
        <v>155</v>
      </c>
      <c r="F169" s="324" t="s">
        <v>4</v>
      </c>
      <c r="G169" s="325">
        <f>$G$166*0.36754</f>
        <v>0.20582240000000002</v>
      </c>
      <c r="H169" s="325">
        <v>123.72</v>
      </c>
      <c r="I169" s="183">
        <f>$I$6</f>
        <v>0.1109</v>
      </c>
      <c r="J169" s="326">
        <f t="shared" si="52"/>
        <v>137.44</v>
      </c>
      <c r="K169" s="327">
        <f t="shared" si="53"/>
        <v>28.28</v>
      </c>
      <c r="L169" s="328">
        <f t="shared" si="54"/>
        <v>3.6907018005330173E-6</v>
      </c>
      <c r="M169" s="281"/>
      <c r="O169" s="95" t="str">
        <f t="shared" si="41"/>
        <v>MATERIAL</v>
      </c>
    </row>
    <row r="170" spans="1:15" s="158" customFormat="1" ht="30" customHeight="1">
      <c r="A170" s="279" t="s">
        <v>551</v>
      </c>
      <c r="B170" s="320" t="str">
        <f t="shared" si="55"/>
        <v>7.3.1.4</v>
      </c>
      <c r="C170" s="321" t="s">
        <v>17</v>
      </c>
      <c r="D170" s="322" t="s">
        <v>9</v>
      </c>
      <c r="E170" s="323" t="s">
        <v>18</v>
      </c>
      <c r="F170" s="324" t="s">
        <v>4</v>
      </c>
      <c r="G170" s="325">
        <f>$G$166*0.36754</f>
        <v>0.20582240000000002</v>
      </c>
      <c r="H170" s="325">
        <v>118.89</v>
      </c>
      <c r="I170" s="183">
        <f>$I$6</f>
        <v>0.1109</v>
      </c>
      <c r="J170" s="326">
        <f t="shared" si="52"/>
        <v>132.07</v>
      </c>
      <c r="K170" s="327">
        <f t="shared" si="53"/>
        <v>27.18</v>
      </c>
      <c r="L170" s="328">
        <f t="shared" si="54"/>
        <v>3.5471455070186494E-6</v>
      </c>
      <c r="M170" s="281"/>
      <c r="O170" s="95" t="str">
        <f t="shared" si="41"/>
        <v>MATERIAL</v>
      </c>
    </row>
    <row r="171" spans="1:15" s="158" customFormat="1" ht="30" customHeight="1">
      <c r="A171" s="279" t="s">
        <v>552</v>
      </c>
      <c r="B171" s="320" t="str">
        <f t="shared" si="55"/>
        <v>7.3.1.5</v>
      </c>
      <c r="C171" s="321" t="s">
        <v>156</v>
      </c>
      <c r="D171" s="322" t="s">
        <v>9</v>
      </c>
      <c r="E171" s="323" t="s">
        <v>210</v>
      </c>
      <c r="F171" s="324" t="s">
        <v>19</v>
      </c>
      <c r="G171" s="325">
        <f>$G$166*282.15207</f>
        <v>158.00515920000001</v>
      </c>
      <c r="H171" s="325">
        <v>0.59</v>
      </c>
      <c r="I171" s="183">
        <f>$I$6</f>
        <v>0.1109</v>
      </c>
      <c r="J171" s="326">
        <f t="shared" si="52"/>
        <v>0.65</v>
      </c>
      <c r="K171" s="327">
        <f t="shared" si="53"/>
        <v>102.7</v>
      </c>
      <c r="L171" s="328">
        <f t="shared" si="54"/>
        <v>1.3402937585386877E-5</v>
      </c>
      <c r="M171" s="281"/>
      <c r="O171" s="95" t="str">
        <f t="shared" si="41"/>
        <v>MATERIAL</v>
      </c>
    </row>
    <row r="172" spans="1:15" s="158" customFormat="1" ht="45">
      <c r="A172" s="279" t="s">
        <v>553</v>
      </c>
      <c r="B172" s="320" t="str">
        <f t="shared" si="55"/>
        <v>7.3.2</v>
      </c>
      <c r="C172" s="321">
        <v>3103302</v>
      </c>
      <c r="D172" s="322" t="s">
        <v>9</v>
      </c>
      <c r="E172" s="323" t="s">
        <v>411</v>
      </c>
      <c r="F172" s="324" t="s">
        <v>159</v>
      </c>
      <c r="G172" s="325">
        <f>0.1*$G$165</f>
        <v>0.4</v>
      </c>
      <c r="H172" s="325">
        <v>46.4</v>
      </c>
      <c r="I172" s="183">
        <f>$I$5</f>
        <v>0.24929999999999999</v>
      </c>
      <c r="J172" s="326">
        <f t="shared" si="43"/>
        <v>57.96</v>
      </c>
      <c r="K172" s="327">
        <f t="shared" si="44"/>
        <v>23.18</v>
      </c>
      <c r="L172" s="328">
        <f t="shared" si="54"/>
        <v>3.0251226215118576E-6</v>
      </c>
      <c r="M172" s="281"/>
      <c r="O172" s="95" t="str">
        <f t="shared" si="41"/>
        <v>SERVIÇOS</v>
      </c>
    </row>
    <row r="173" spans="1:15" s="158" customFormat="1" ht="30" customHeight="1">
      <c r="A173" s="279" t="s">
        <v>554</v>
      </c>
      <c r="B173" s="320" t="str">
        <f t="shared" si="55"/>
        <v>7.3.3</v>
      </c>
      <c r="C173" s="321">
        <v>5914449</v>
      </c>
      <c r="D173" s="322" t="s">
        <v>9</v>
      </c>
      <c r="E173" s="319" t="s">
        <v>370</v>
      </c>
      <c r="F173" s="324" t="s">
        <v>367</v>
      </c>
      <c r="G173" s="325">
        <f>IF(F173&lt;&gt;"tkm.",INDEX(MEMÓRIA!L:L,MATCH($A173,MEMÓRIA!A:A,0)),INDEX(TRANSPORTES!L:L,MATCH($A173,TRANSPORTES!A:A,0)))</f>
        <v>0.49</v>
      </c>
      <c r="H173" s="329">
        <v>1.08</v>
      </c>
      <c r="I173" s="183">
        <f>$I$5</f>
        <v>0.24929999999999999</v>
      </c>
      <c r="J173" s="326">
        <f t="shared" si="43"/>
        <v>1.34</v>
      </c>
      <c r="K173" s="327">
        <f t="shared" si="44"/>
        <v>0.65</v>
      </c>
      <c r="L173" s="328">
        <f t="shared" si="54"/>
        <v>8.4828718894853656E-8</v>
      </c>
      <c r="M173" s="281"/>
      <c r="O173" s="95" t="str">
        <f t="shared" si="41"/>
        <v>SERVIÇOS</v>
      </c>
    </row>
    <row r="174" spans="1:15" s="158" customFormat="1" ht="30" customHeight="1">
      <c r="A174" s="279" t="s">
        <v>555</v>
      </c>
      <c r="B174" s="320" t="str">
        <f t="shared" si="55"/>
        <v>7.3.4</v>
      </c>
      <c r="C174" s="321">
        <v>5914359</v>
      </c>
      <c r="D174" s="322" t="s">
        <v>9</v>
      </c>
      <c r="E174" s="319" t="s">
        <v>376</v>
      </c>
      <c r="F174" s="324" t="s">
        <v>367</v>
      </c>
      <c r="G174" s="325">
        <f>IF(F174&lt;&gt;"tkm.",INDEX(MEMÓRIA!L:L,MATCH($A174,MEMÓRIA!A:A,0)),INDEX(TRANSPORTES!L:L,MATCH($A174,TRANSPORTES!A:A,0)))</f>
        <v>3.45</v>
      </c>
      <c r="H174" s="329">
        <v>1.18</v>
      </c>
      <c r="I174" s="183">
        <f>$I$5</f>
        <v>0.24929999999999999</v>
      </c>
      <c r="J174" s="326">
        <f t="shared" si="43"/>
        <v>1.47</v>
      </c>
      <c r="K174" s="327">
        <f t="shared" si="44"/>
        <v>5.07</v>
      </c>
      <c r="L174" s="328">
        <f t="shared" si="54"/>
        <v>6.6166400737985853E-7</v>
      </c>
      <c r="M174" s="281"/>
      <c r="O174" s="95" t="str">
        <f t="shared" si="41"/>
        <v>SERVIÇOS</v>
      </c>
    </row>
    <row r="175" spans="1:15" s="158" customFormat="1" ht="30" customHeight="1">
      <c r="A175" s="279" t="s">
        <v>556</v>
      </c>
      <c r="B175" s="320" t="str">
        <f t="shared" si="55"/>
        <v>7.3.5</v>
      </c>
      <c r="C175" s="321">
        <v>5914479</v>
      </c>
      <c r="D175" s="322" t="s">
        <v>9</v>
      </c>
      <c r="E175" s="319" t="s">
        <v>372</v>
      </c>
      <c r="F175" s="324" t="s">
        <v>367</v>
      </c>
      <c r="G175" s="325">
        <f>IF(F175&lt;&gt;"tkm.",INDEX(MEMÓRIA!L:L,MATCH($A175,MEMÓRIA!A:A,0)),INDEX(TRANSPORTES!L:L,MATCH($A175,TRANSPORTES!A:A,0)))</f>
        <v>7.95</v>
      </c>
      <c r="H175" s="329">
        <v>0.71</v>
      </c>
      <c r="I175" s="183">
        <f>$I$5</f>
        <v>0.24929999999999999</v>
      </c>
      <c r="J175" s="326">
        <f t="shared" si="43"/>
        <v>0.88</v>
      </c>
      <c r="K175" s="327">
        <f t="shared" si="44"/>
        <v>6.99</v>
      </c>
      <c r="L175" s="328">
        <f t="shared" si="54"/>
        <v>9.1223499242311849E-7</v>
      </c>
      <c r="M175" s="281"/>
      <c r="O175" s="95" t="str">
        <f t="shared" si="41"/>
        <v>SERVIÇOS</v>
      </c>
    </row>
    <row r="176" spans="1:15" s="158" customFormat="1" ht="30" customHeight="1">
      <c r="A176" s="279" t="s">
        <v>557</v>
      </c>
      <c r="B176" s="320" t="str">
        <f t="shared" si="55"/>
        <v>7.3.6</v>
      </c>
      <c r="C176" s="321">
        <v>5914389</v>
      </c>
      <c r="D176" s="322" t="s">
        <v>9</v>
      </c>
      <c r="E176" s="319" t="s">
        <v>371</v>
      </c>
      <c r="F176" s="324" t="s">
        <v>367</v>
      </c>
      <c r="G176" s="325">
        <f>IF(F176&lt;&gt;"tkm.",INDEX(MEMÓRIA!L:L,MATCH($A176,MEMÓRIA!A:A,0)),INDEX(TRANSPORTES!L:L,MATCH($A176,TRANSPORTES!A:A,0)))</f>
        <v>55.63</v>
      </c>
      <c r="H176" s="329">
        <v>0.77</v>
      </c>
      <c r="I176" s="183">
        <f>$I$5</f>
        <v>0.24929999999999999</v>
      </c>
      <c r="J176" s="326">
        <f t="shared" si="43"/>
        <v>0.96</v>
      </c>
      <c r="K176" s="327">
        <f t="shared" si="44"/>
        <v>53.4</v>
      </c>
      <c r="L176" s="328">
        <f t="shared" si="54"/>
        <v>6.9690055215156683E-6</v>
      </c>
      <c r="M176" s="281"/>
      <c r="O176" s="95" t="str">
        <f t="shared" si="41"/>
        <v>SERVIÇOS</v>
      </c>
    </row>
    <row r="177" spans="1:15" s="158" customFormat="1" ht="45" customHeight="1">
      <c r="A177" s="182" t="s">
        <v>616</v>
      </c>
      <c r="B177" s="242" t="str">
        <f t="shared" si="55"/>
        <v>7.4</v>
      </c>
      <c r="C177" s="316" t="s">
        <v>615</v>
      </c>
      <c r="D177" s="292"/>
      <c r="E177" s="315" t="s">
        <v>636</v>
      </c>
      <c r="F177" s="292" t="s">
        <v>148</v>
      </c>
      <c r="G177" s="291">
        <f>INDEX(MEMÓRIA!L:L,MATCH($A177,MEMÓRIA!A:A,0))</f>
        <v>147</v>
      </c>
      <c r="H177" s="246"/>
      <c r="I177" s="247"/>
      <c r="J177" s="246"/>
      <c r="K177" s="248">
        <f>SUBTOTAL(109,K178:K192)</f>
        <v>15561.360000000002</v>
      </c>
      <c r="L177" s="249">
        <f>SUBTOTAL(109,L178:L192)</f>
        <v>2.0308465124024917E-3</v>
      </c>
      <c r="M177" s="250"/>
      <c r="O177" s="95" t="str">
        <f t="shared" ref="O177:O192" si="56">IF(I177=$I$6,"MATERIAL",IF(I177=$I$5,"SERVIÇOS"," "))</f>
        <v xml:space="preserve"> </v>
      </c>
    </row>
    <row r="178" spans="1:15" s="158" customFormat="1" ht="30" customHeight="1">
      <c r="A178" s="279" t="s">
        <v>617</v>
      </c>
      <c r="B178" s="320" t="str">
        <f t="shared" si="55"/>
        <v>7.4.1</v>
      </c>
      <c r="C178" s="321">
        <v>4805755</v>
      </c>
      <c r="D178" s="322" t="s">
        <v>9</v>
      </c>
      <c r="E178" s="323" t="s">
        <v>412</v>
      </c>
      <c r="F178" s="324" t="s">
        <v>4</v>
      </c>
      <c r="G178" s="325">
        <f>0.2*$G$177</f>
        <v>29.400000000000002</v>
      </c>
      <c r="H178" s="325">
        <v>31.08</v>
      </c>
      <c r="I178" s="183">
        <f>$I$5</f>
        <v>0.24929999999999999</v>
      </c>
      <c r="J178" s="326">
        <f t="shared" ref="J178:J192" si="57">TRUNC(H178*(1+I178),2)</f>
        <v>38.82</v>
      </c>
      <c r="K178" s="327">
        <f t="shared" ref="K178:K192" si="58">TRUNC(G178*J178,2)</f>
        <v>1141.3</v>
      </c>
      <c r="L178" s="328">
        <f t="shared" ref="L178:L192" si="59">K178/$K$196</f>
        <v>1.4894617980722532E-4</v>
      </c>
      <c r="M178" s="281"/>
      <c r="O178" s="95" t="str">
        <f t="shared" si="56"/>
        <v>SERVIÇOS</v>
      </c>
    </row>
    <row r="179" spans="1:15" s="158" customFormat="1" ht="30">
      <c r="A179" s="279" t="s">
        <v>618</v>
      </c>
      <c r="B179" s="320" t="str">
        <f>A179</f>
        <v>7.4.2</v>
      </c>
      <c r="C179" s="321">
        <v>1107892</v>
      </c>
      <c r="D179" s="322" t="s">
        <v>9</v>
      </c>
      <c r="E179" s="323" t="s">
        <v>408</v>
      </c>
      <c r="F179" s="324" t="s">
        <v>4</v>
      </c>
      <c r="G179" s="325">
        <f>0.1*$G$177</f>
        <v>14.700000000000001</v>
      </c>
      <c r="H179" s="325">
        <v>81.05</v>
      </c>
      <c r="I179" s="183">
        <f>$I$5</f>
        <v>0.24929999999999999</v>
      </c>
      <c r="J179" s="326">
        <f t="shared" si="57"/>
        <v>101.25</v>
      </c>
      <c r="K179" s="327">
        <f t="shared" si="58"/>
        <v>1488.37</v>
      </c>
      <c r="L179" s="328">
        <f t="shared" si="59"/>
        <v>1.9424080052543585E-4</v>
      </c>
      <c r="M179" s="281"/>
      <c r="O179" s="95" t="str">
        <f t="shared" si="56"/>
        <v>SERVIÇOS</v>
      </c>
    </row>
    <row r="180" spans="1:15" s="158" customFormat="1" ht="30" customHeight="1">
      <c r="A180" s="279" t="s">
        <v>619</v>
      </c>
      <c r="B180" s="320" t="str">
        <f>A180</f>
        <v>7.4.2.1</v>
      </c>
      <c r="C180" s="321" t="s">
        <v>152</v>
      </c>
      <c r="D180" s="322" t="s">
        <v>9</v>
      </c>
      <c r="E180" s="323" t="s">
        <v>153</v>
      </c>
      <c r="F180" s="324" t="s">
        <v>19</v>
      </c>
      <c r="G180" s="325">
        <f>$G$179*0.84646</f>
        <v>12.442962000000001</v>
      </c>
      <c r="H180" s="325">
        <v>6.09</v>
      </c>
      <c r="I180" s="183">
        <f t="shared" ref="I180:I186" si="60">$I$6</f>
        <v>0.1109</v>
      </c>
      <c r="J180" s="326">
        <f t="shared" si="57"/>
        <v>6.76</v>
      </c>
      <c r="K180" s="327">
        <f t="shared" si="58"/>
        <v>84.11</v>
      </c>
      <c r="L180" s="328">
        <f t="shared" si="59"/>
        <v>1.0976836224994062E-5</v>
      </c>
      <c r="M180" s="281"/>
      <c r="O180" s="95" t="str">
        <f t="shared" si="56"/>
        <v>MATERIAL</v>
      </c>
    </row>
    <row r="181" spans="1:15" s="158" customFormat="1" ht="30" customHeight="1">
      <c r="A181" s="279" t="s">
        <v>620</v>
      </c>
      <c r="B181" s="320" t="str">
        <f t="shared" ref="B181:B192" si="61">A181</f>
        <v>7.4.2.2</v>
      </c>
      <c r="C181" s="321" t="s">
        <v>149</v>
      </c>
      <c r="D181" s="322" t="s">
        <v>9</v>
      </c>
      <c r="E181" s="323" t="s">
        <v>150</v>
      </c>
      <c r="F181" s="324" t="s">
        <v>4</v>
      </c>
      <c r="G181" s="325">
        <f>$G$179*0.63334</f>
        <v>9.3100980000000018</v>
      </c>
      <c r="H181" s="325">
        <v>139.72</v>
      </c>
      <c r="I181" s="183">
        <f t="shared" si="60"/>
        <v>0.1109</v>
      </c>
      <c r="J181" s="326">
        <f t="shared" si="57"/>
        <v>155.21</v>
      </c>
      <c r="K181" s="327">
        <f t="shared" si="58"/>
        <v>1445.02</v>
      </c>
      <c r="L181" s="328">
        <f t="shared" si="59"/>
        <v>1.8858337750375602E-4</v>
      </c>
      <c r="M181" s="281"/>
      <c r="O181" s="95" t="str">
        <f t="shared" si="56"/>
        <v>MATERIAL</v>
      </c>
    </row>
    <row r="182" spans="1:15" s="158" customFormat="1" ht="30" customHeight="1">
      <c r="A182" s="279" t="s">
        <v>629</v>
      </c>
      <c r="B182" s="320" t="str">
        <f t="shared" si="61"/>
        <v>7.4.2.3</v>
      </c>
      <c r="C182" s="321" t="s">
        <v>154</v>
      </c>
      <c r="D182" s="322" t="s">
        <v>9</v>
      </c>
      <c r="E182" s="323" t="s">
        <v>155</v>
      </c>
      <c r="F182" s="324" t="s">
        <v>4</v>
      </c>
      <c r="G182" s="325">
        <f>$G$179*0.36754</f>
        <v>5.402838</v>
      </c>
      <c r="H182" s="325">
        <v>123.72</v>
      </c>
      <c r="I182" s="183">
        <f t="shared" si="60"/>
        <v>0.1109</v>
      </c>
      <c r="J182" s="326">
        <f t="shared" si="57"/>
        <v>137.44</v>
      </c>
      <c r="K182" s="327">
        <f t="shared" si="58"/>
        <v>742.56</v>
      </c>
      <c r="L182" s="328">
        <f t="shared" si="59"/>
        <v>9.6908328465480795E-5</v>
      </c>
      <c r="M182" s="281"/>
      <c r="O182" s="95" t="str">
        <f t="shared" si="56"/>
        <v>MATERIAL</v>
      </c>
    </row>
    <row r="183" spans="1:15" s="158" customFormat="1" ht="30" customHeight="1">
      <c r="A183" s="279" t="s">
        <v>630</v>
      </c>
      <c r="B183" s="320" t="str">
        <f t="shared" si="61"/>
        <v>7.4.2.4</v>
      </c>
      <c r="C183" s="321" t="s">
        <v>17</v>
      </c>
      <c r="D183" s="322" t="s">
        <v>9</v>
      </c>
      <c r="E183" s="323" t="s">
        <v>18</v>
      </c>
      <c r="F183" s="324" t="s">
        <v>4</v>
      </c>
      <c r="G183" s="325">
        <f>$G$179*0.36754</f>
        <v>5.402838</v>
      </c>
      <c r="H183" s="325">
        <v>118.89</v>
      </c>
      <c r="I183" s="183">
        <f t="shared" si="60"/>
        <v>0.1109</v>
      </c>
      <c r="J183" s="326">
        <f t="shared" si="57"/>
        <v>132.07</v>
      </c>
      <c r="K183" s="327">
        <f t="shared" si="58"/>
        <v>713.55</v>
      </c>
      <c r="L183" s="328">
        <f t="shared" si="59"/>
        <v>9.3122357488342796E-5</v>
      </c>
      <c r="M183" s="281"/>
      <c r="O183" s="95" t="str">
        <f t="shared" si="56"/>
        <v>MATERIAL</v>
      </c>
    </row>
    <row r="184" spans="1:15" s="158" customFormat="1" ht="30" customHeight="1">
      <c r="A184" s="279" t="s">
        <v>631</v>
      </c>
      <c r="B184" s="320" t="str">
        <f t="shared" si="61"/>
        <v>7.4.2.5</v>
      </c>
      <c r="C184" s="321" t="s">
        <v>156</v>
      </c>
      <c r="D184" s="322" t="s">
        <v>9</v>
      </c>
      <c r="E184" s="323" t="s">
        <v>210</v>
      </c>
      <c r="F184" s="324" t="s">
        <v>19</v>
      </c>
      <c r="G184" s="325">
        <f>$G$179*282.15207</f>
        <v>4147.6354289999999</v>
      </c>
      <c r="H184" s="325">
        <v>0.59</v>
      </c>
      <c r="I184" s="183">
        <f t="shared" si="60"/>
        <v>0.1109</v>
      </c>
      <c r="J184" s="326">
        <f t="shared" si="57"/>
        <v>0.65</v>
      </c>
      <c r="K184" s="327">
        <f t="shared" si="58"/>
        <v>2695.96</v>
      </c>
      <c r="L184" s="328">
        <f t="shared" si="59"/>
        <v>3.518382046027225E-4</v>
      </c>
      <c r="M184" s="281"/>
      <c r="O184" s="95" t="str">
        <f t="shared" si="56"/>
        <v>MATERIAL</v>
      </c>
    </row>
    <row r="185" spans="1:15" s="158" customFormat="1" ht="45">
      <c r="A185" s="279" t="s">
        <v>621</v>
      </c>
      <c r="B185" s="320" t="str">
        <f t="shared" si="61"/>
        <v>7.4.3</v>
      </c>
      <c r="C185" s="321">
        <v>2003842</v>
      </c>
      <c r="D185" s="322" t="s">
        <v>9</v>
      </c>
      <c r="E185" s="323" t="s">
        <v>409</v>
      </c>
      <c r="F185" s="324" t="s">
        <v>19</v>
      </c>
      <c r="G185" s="325">
        <f>0.18*$G$177</f>
        <v>26.459999999999997</v>
      </c>
      <c r="H185" s="325">
        <v>41.47</v>
      </c>
      <c r="I185" s="183">
        <f>$I$5</f>
        <v>0.24929999999999999</v>
      </c>
      <c r="J185" s="326">
        <f t="shared" si="57"/>
        <v>51.8</v>
      </c>
      <c r="K185" s="327">
        <f t="shared" si="58"/>
        <v>1370.62</v>
      </c>
      <c r="L185" s="328">
        <f t="shared" si="59"/>
        <v>1.7887375183332969E-4</v>
      </c>
      <c r="M185" s="281"/>
      <c r="O185" s="95" t="str">
        <f t="shared" si="56"/>
        <v>SERVIÇOS</v>
      </c>
    </row>
    <row r="186" spans="1:15" s="158" customFormat="1" ht="30" customHeight="1">
      <c r="A186" s="279" t="s">
        <v>622</v>
      </c>
      <c r="B186" s="320" t="str">
        <f t="shared" si="61"/>
        <v>7.4.3.1</v>
      </c>
      <c r="C186" s="321" t="s">
        <v>224</v>
      </c>
      <c r="D186" s="322" t="s">
        <v>9</v>
      </c>
      <c r="E186" s="323" t="s">
        <v>225</v>
      </c>
      <c r="F186" s="324" t="s">
        <v>19</v>
      </c>
      <c r="G186" s="325">
        <f>$G$185*1</f>
        <v>26.459999999999997</v>
      </c>
      <c r="H186" s="325">
        <v>23.93</v>
      </c>
      <c r="I186" s="183">
        <f t="shared" si="60"/>
        <v>0.1109</v>
      </c>
      <c r="J186" s="326">
        <f t="shared" si="57"/>
        <v>26.58</v>
      </c>
      <c r="K186" s="327">
        <f t="shared" si="58"/>
        <v>703.3</v>
      </c>
      <c r="L186" s="328">
        <f t="shared" si="59"/>
        <v>9.1784673844231635E-5</v>
      </c>
      <c r="M186" s="281"/>
      <c r="O186" s="95" t="str">
        <f t="shared" si="56"/>
        <v>MATERIAL</v>
      </c>
    </row>
    <row r="187" spans="1:15" s="158" customFormat="1" ht="30" customHeight="1">
      <c r="A187" s="279" t="s">
        <v>623</v>
      </c>
      <c r="B187" s="320" t="str">
        <f t="shared" si="61"/>
        <v>7.4.4</v>
      </c>
      <c r="C187" s="321">
        <v>4805750</v>
      </c>
      <c r="D187" s="322" t="s">
        <v>9</v>
      </c>
      <c r="E187" s="323" t="s">
        <v>410</v>
      </c>
      <c r="F187" s="324" t="s">
        <v>4</v>
      </c>
      <c r="G187" s="325">
        <f>0.28*$G$177</f>
        <v>41.160000000000004</v>
      </c>
      <c r="H187" s="325">
        <v>42.11</v>
      </c>
      <c r="I187" s="183">
        <f t="shared" ref="I187:I192" si="62">$I$5</f>
        <v>0.24929999999999999</v>
      </c>
      <c r="J187" s="326">
        <f t="shared" si="57"/>
        <v>52.6</v>
      </c>
      <c r="K187" s="327">
        <f t="shared" si="58"/>
        <v>2165.0100000000002</v>
      </c>
      <c r="L187" s="328">
        <f t="shared" si="59"/>
        <v>2.825461918377648E-4</v>
      </c>
      <c r="M187" s="281"/>
      <c r="O187" s="95" t="str">
        <f t="shared" si="56"/>
        <v>SERVIÇOS</v>
      </c>
    </row>
    <row r="188" spans="1:15" s="158" customFormat="1" ht="30" customHeight="1">
      <c r="A188" s="184" t="s">
        <v>487</v>
      </c>
      <c r="B188" s="320" t="str">
        <f t="shared" si="61"/>
        <v>5.4.5</v>
      </c>
      <c r="C188" s="321">
        <v>3108018</v>
      </c>
      <c r="D188" s="322" t="s">
        <v>9</v>
      </c>
      <c r="E188" s="323" t="s">
        <v>307</v>
      </c>
      <c r="F188" s="324" t="s">
        <v>148</v>
      </c>
      <c r="G188" s="325">
        <f>0.68*$G$177</f>
        <v>99.960000000000008</v>
      </c>
      <c r="H188" s="325">
        <v>4.66</v>
      </c>
      <c r="I188" s="183">
        <f t="shared" si="62"/>
        <v>0.24929999999999999</v>
      </c>
      <c r="J188" s="326">
        <f t="shared" si="57"/>
        <v>5.82</v>
      </c>
      <c r="K188" s="327">
        <f t="shared" si="58"/>
        <v>581.76</v>
      </c>
      <c r="L188" s="328">
        <f t="shared" si="59"/>
        <v>7.5923008468107778E-5</v>
      </c>
      <c r="M188" s="185"/>
      <c r="O188" s="95" t="str">
        <f t="shared" si="56"/>
        <v>SERVIÇOS</v>
      </c>
    </row>
    <row r="189" spans="1:15" s="158" customFormat="1" ht="30" customHeight="1">
      <c r="A189" s="279" t="s">
        <v>624</v>
      </c>
      <c r="B189" s="320" t="str">
        <f t="shared" si="61"/>
        <v>7.4.6</v>
      </c>
      <c r="C189" s="321">
        <v>5914449</v>
      </c>
      <c r="D189" s="322" t="s">
        <v>9</v>
      </c>
      <c r="E189" s="319" t="s">
        <v>370</v>
      </c>
      <c r="F189" s="324" t="s">
        <v>367</v>
      </c>
      <c r="G189" s="325">
        <f>IF(F189&lt;&gt;"tkm.",INDEX(MEMÓRIA!L:L,MATCH($A189,MEMÓRIA!A:A,0)),INDEX(TRANSPORTES!L:L,MATCH($A189,TRANSPORTES!A:A,0)))</f>
        <v>18.07</v>
      </c>
      <c r="H189" s="329">
        <v>1.08</v>
      </c>
      <c r="I189" s="183">
        <f t="shared" si="62"/>
        <v>0.24929999999999999</v>
      </c>
      <c r="J189" s="326">
        <f t="shared" si="57"/>
        <v>1.34</v>
      </c>
      <c r="K189" s="327">
        <f t="shared" si="58"/>
        <v>24.21</v>
      </c>
      <c r="L189" s="328">
        <f t="shared" si="59"/>
        <v>3.1595435145298569E-6</v>
      </c>
      <c r="M189" s="281"/>
      <c r="O189" s="95" t="str">
        <f t="shared" si="56"/>
        <v>SERVIÇOS</v>
      </c>
    </row>
    <row r="190" spans="1:15" s="158" customFormat="1" ht="30" customHeight="1">
      <c r="A190" s="279" t="s">
        <v>625</v>
      </c>
      <c r="B190" s="320" t="str">
        <f t="shared" si="61"/>
        <v>7.4.7</v>
      </c>
      <c r="C190" s="321">
        <v>5914359</v>
      </c>
      <c r="D190" s="322" t="s">
        <v>9</v>
      </c>
      <c r="E190" s="319" t="s">
        <v>376</v>
      </c>
      <c r="F190" s="324" t="s">
        <v>367</v>
      </c>
      <c r="G190" s="325">
        <f>IF(F190&lt;&gt;"tkm.",INDEX(MEMÓRIA!L:L,MATCH($A190,MEMÓRIA!A:A,0)),INDEX(TRANSPORTES!L:L,MATCH($A190,TRANSPORTES!A:A,0)))</f>
        <v>126.73</v>
      </c>
      <c r="H190" s="329">
        <v>1.18</v>
      </c>
      <c r="I190" s="183">
        <f t="shared" si="62"/>
        <v>0.24929999999999999</v>
      </c>
      <c r="J190" s="326">
        <f t="shared" si="57"/>
        <v>1.47</v>
      </c>
      <c r="K190" s="327">
        <f>TRUNC(G190*J190,2)</f>
        <v>186.29</v>
      </c>
      <c r="L190" s="328">
        <f t="shared" si="59"/>
        <v>2.4311910835265055E-5</v>
      </c>
      <c r="M190" s="281"/>
      <c r="O190" s="95" t="str">
        <f t="shared" si="56"/>
        <v>SERVIÇOS</v>
      </c>
    </row>
    <row r="191" spans="1:15" s="158" customFormat="1" ht="30" customHeight="1">
      <c r="A191" s="279" t="s">
        <v>626</v>
      </c>
      <c r="B191" s="320" t="str">
        <f t="shared" si="61"/>
        <v>7.4.8</v>
      </c>
      <c r="C191" s="321">
        <v>5914479</v>
      </c>
      <c r="D191" s="322" t="s">
        <v>9</v>
      </c>
      <c r="E191" s="319" t="s">
        <v>372</v>
      </c>
      <c r="F191" s="324" t="s">
        <v>367</v>
      </c>
      <c r="G191" s="325">
        <f>IF(F191&lt;&gt;"tkm.",INDEX(MEMÓRIA!L:L,MATCH($A191,MEMÓRIA!A:A,0)),INDEX(TRANSPORTES!L:L,MATCH($A191,TRANSPORTES!A:A,0)))</f>
        <v>291.5</v>
      </c>
      <c r="H191" s="329">
        <v>0.71</v>
      </c>
      <c r="I191" s="183">
        <f t="shared" si="62"/>
        <v>0.24929999999999999</v>
      </c>
      <c r="J191" s="326">
        <f t="shared" si="57"/>
        <v>0.88</v>
      </c>
      <c r="K191" s="327">
        <f t="shared" si="58"/>
        <v>256.52</v>
      </c>
      <c r="L191" s="328">
        <f t="shared" si="59"/>
        <v>3.3477327647550548E-5</v>
      </c>
      <c r="M191" s="281"/>
      <c r="O191" s="95" t="str">
        <f t="shared" si="56"/>
        <v>SERVIÇOS</v>
      </c>
    </row>
    <row r="192" spans="1:15" s="158" customFormat="1" ht="30" customHeight="1">
      <c r="A192" s="279" t="s">
        <v>627</v>
      </c>
      <c r="B192" s="320" t="str">
        <f t="shared" si="61"/>
        <v>7.4.9</v>
      </c>
      <c r="C192" s="321">
        <v>5914389</v>
      </c>
      <c r="D192" s="322" t="s">
        <v>9</v>
      </c>
      <c r="E192" s="319" t="s">
        <v>371</v>
      </c>
      <c r="F192" s="324" t="s">
        <v>367</v>
      </c>
      <c r="G192" s="325">
        <f>IF(F192&lt;&gt;"tkm.",INDEX(MEMÓRIA!L:L,MATCH($A192,MEMÓRIA!A:A,0)),INDEX(TRANSPORTES!L:L,MATCH($A192,TRANSPORTES!A:A,0)))</f>
        <v>2044.57</v>
      </c>
      <c r="H192" s="329">
        <v>0.77</v>
      </c>
      <c r="I192" s="183">
        <f t="shared" si="62"/>
        <v>0.24929999999999999</v>
      </c>
      <c r="J192" s="326">
        <f t="shared" si="57"/>
        <v>0.96</v>
      </c>
      <c r="K192" s="327">
        <f t="shared" si="58"/>
        <v>1962.78</v>
      </c>
      <c r="L192" s="328">
        <f t="shared" si="59"/>
        <v>2.5615401980375513E-4</v>
      </c>
      <c r="M192" s="281"/>
      <c r="O192" s="95" t="str">
        <f t="shared" si="56"/>
        <v>SERVIÇOS</v>
      </c>
    </row>
    <row r="193" spans="1:15" s="158" customFormat="1" ht="30" customHeight="1">
      <c r="A193" s="182">
        <v>8</v>
      </c>
      <c r="B193" s="105">
        <f>A193</f>
        <v>8</v>
      </c>
      <c r="C193" s="113"/>
      <c r="D193" s="73"/>
      <c r="E193" s="74" t="s">
        <v>561</v>
      </c>
      <c r="F193" s="73"/>
      <c r="G193" s="75"/>
      <c r="H193" s="75"/>
      <c r="I193" s="240"/>
      <c r="J193" s="75"/>
      <c r="K193" s="76">
        <f>SUBTOTAL(109,K194:K195)</f>
        <v>4403382.5999999996</v>
      </c>
      <c r="L193" s="77">
        <f>SUBTOTAL(109,L194:L195)</f>
        <v>0.57466662271059965</v>
      </c>
      <c r="M193" s="241"/>
      <c r="O193" s="95" t="str">
        <f>IF(I193=$I$6,"MATERIAL",IF(I193=$I$5,"SERVIÇOS"," "))</f>
        <v xml:space="preserve"> </v>
      </c>
    </row>
    <row r="194" spans="1:15" s="158" customFormat="1" ht="30" customHeight="1">
      <c r="A194" s="182" t="s">
        <v>562</v>
      </c>
      <c r="B194" s="242" t="str">
        <f>A194</f>
        <v>8.1</v>
      </c>
      <c r="C194" s="293"/>
      <c r="D194" s="292"/>
      <c r="E194" s="245" t="s">
        <v>563</v>
      </c>
      <c r="F194" s="292"/>
      <c r="G194" s="291"/>
      <c r="H194" s="246"/>
      <c r="I194" s="247"/>
      <c r="J194" s="246"/>
      <c r="K194" s="248">
        <f>SUBTOTAL(109,K195)</f>
        <v>4403382.5999999996</v>
      </c>
      <c r="L194" s="249">
        <f>SUBTOTAL(109,L195)</f>
        <v>0.57466662271059965</v>
      </c>
      <c r="M194" s="250"/>
      <c r="O194" s="95" t="str">
        <f>IF(I194=$I$6,"MATERIAL",IF(I194=$I$5,"SERVIÇOS"," "))</f>
        <v xml:space="preserve"> </v>
      </c>
    </row>
    <row r="195" spans="1:15" s="158" customFormat="1" ht="45" customHeight="1">
      <c r="A195" s="279" t="s">
        <v>564</v>
      </c>
      <c r="B195" s="320" t="str">
        <f>A195</f>
        <v>8.1.1</v>
      </c>
      <c r="C195" s="321" t="s">
        <v>566</v>
      </c>
      <c r="D195" s="322" t="s">
        <v>351</v>
      </c>
      <c r="E195" s="323" t="s">
        <v>565</v>
      </c>
      <c r="F195" s="324" t="s">
        <v>159</v>
      </c>
      <c r="G195" s="325">
        <f>INDEX(MEMÓRIA!L:L,MATCH($A195,MEMÓRIA!A:A,0))</f>
        <v>11346</v>
      </c>
      <c r="H195" s="325">
        <v>349.36</v>
      </c>
      <c r="I195" s="183">
        <f>$I$6</f>
        <v>0.1109</v>
      </c>
      <c r="J195" s="326">
        <f>TRUNC(H195*(1+I195),2)</f>
        <v>388.1</v>
      </c>
      <c r="K195" s="327">
        <f>TRUNC(G195*J195,2)</f>
        <v>4403382.5999999996</v>
      </c>
      <c r="L195" s="328">
        <f>K195/$K$196</f>
        <v>0.57466662271059965</v>
      </c>
      <c r="M195" s="281"/>
      <c r="O195" s="95"/>
    </row>
    <row r="196" spans="1:15" ht="30" customHeight="1">
      <c r="A196" s="283"/>
      <c r="B196" s="284"/>
      <c r="C196" s="285"/>
      <c r="D196" s="286"/>
      <c r="E196" s="287"/>
      <c r="F196" s="287"/>
      <c r="G196" s="287"/>
      <c r="H196" s="287"/>
      <c r="I196" s="287"/>
      <c r="J196" s="288" t="s">
        <v>67</v>
      </c>
      <c r="K196" s="289">
        <f>SUBTOTAL(109,K9:K195)</f>
        <v>7662499.3099999996</v>
      </c>
      <c r="L196" s="290">
        <f>SUBTOTAL(109,L9:L195)</f>
        <v>0.99999999999999978</v>
      </c>
      <c r="M196" s="286"/>
    </row>
    <row r="198" spans="1:15">
      <c r="J198" s="1"/>
      <c r="K198" s="311"/>
    </row>
    <row r="201" spans="1:15">
      <c r="K201" s="348"/>
    </row>
    <row r="202" spans="1:15">
      <c r="A202"/>
      <c r="B202"/>
      <c r="C202"/>
      <c r="K202" s="310"/>
      <c r="O202"/>
    </row>
    <row r="203" spans="1:15">
      <c r="A203"/>
      <c r="B203"/>
      <c r="C203"/>
      <c r="K203" s="310"/>
      <c r="O203"/>
    </row>
  </sheetData>
  <mergeCells count="2">
    <mergeCell ref="K5:L5"/>
    <mergeCell ref="K6:L6"/>
  </mergeCells>
  <conditionalFormatting sqref="A1:N4 A5:K6 M5:N6 A122:N1048576 A7:N114 A115:A121 M115:N121">
    <cfRule type="containsErrors" dxfId="5" priority="6">
      <formula>ISERROR(A1)</formula>
    </cfRule>
  </conditionalFormatting>
  <conditionalFormatting sqref="B115:L117">
    <cfRule type="containsErrors" dxfId="4" priority="3">
      <formula>ISERROR(B115)</formula>
    </cfRule>
  </conditionalFormatting>
  <conditionalFormatting sqref="B118:L120">
    <cfRule type="containsErrors" dxfId="3" priority="2">
      <formula>ISERROR(B118)</formula>
    </cfRule>
  </conditionalFormatting>
  <conditionalFormatting sqref="B121:L121">
    <cfRule type="containsErrors" dxfId="2" priority="1">
      <formula>ISERROR(B121)</formula>
    </cfRule>
  </conditionalFormatting>
  <pageMargins left="0.51181102362204722" right="0.51181102362204722" top="0.78740157480314965" bottom="0.78740157480314965" header="0.31496062992125984" footer="0.31496062992125984"/>
  <pageSetup paperSize="9" scale="52" fitToHeight="0" orientation="portrait" r:id="rId1"/>
  <rowBreaks count="1" manualBreakCount="1">
    <brk id="45" max="12" man="1"/>
  </rowBreaks>
  <ignoredErrors>
    <ignoredError sqref="I6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Q39"/>
  <sheetViews>
    <sheetView showGridLines="0" view="pageBreakPreview" zoomScaleNormal="70" zoomScaleSheetLayoutView="100" workbookViewId="0">
      <pane xSplit="2" ySplit="10" topLeftCell="C11" activePane="bottomRight" state="frozen"/>
      <selection activeCell="R20" sqref="R20"/>
      <selection pane="topRight" activeCell="R20" sqref="R20"/>
      <selection pane="bottomLeft" activeCell="R20" sqref="R20"/>
      <selection pane="bottomRight" activeCell="F27" sqref="F27"/>
    </sheetView>
  </sheetViews>
  <sheetFormatPr defaultColWidth="11.140625" defaultRowHeight="12.75"/>
  <cols>
    <col min="1" max="1" width="7.7109375" style="194" bestFit="1" customWidth="1"/>
    <col min="2" max="2" width="50.7109375" style="193" customWidth="1"/>
    <col min="3" max="8" width="20.7109375" style="193" customWidth="1"/>
    <col min="9" max="9" width="20.7109375" style="192" customWidth="1"/>
    <col min="10" max="10" width="4.7109375" style="191" customWidth="1"/>
    <col min="11" max="11" width="12" style="191" customWidth="1"/>
    <col min="12" max="16384" width="11.140625" style="191"/>
  </cols>
  <sheetData>
    <row r="1" spans="1:69" s="226" customFormat="1">
      <c r="A1" s="551"/>
      <c r="B1" s="551"/>
      <c r="C1" s="551"/>
      <c r="D1" s="551"/>
      <c r="E1" s="551"/>
      <c r="F1" s="552"/>
      <c r="G1" s="552"/>
      <c r="H1" s="552"/>
      <c r="I1" s="551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</row>
    <row r="2" spans="1:69" s="226" customFormat="1">
      <c r="A2" s="553"/>
      <c r="B2" s="553"/>
      <c r="C2" s="553"/>
      <c r="D2" s="553"/>
      <c r="E2" s="553"/>
      <c r="F2" s="553"/>
      <c r="G2" s="553"/>
      <c r="H2" s="553"/>
      <c r="I2" s="553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</row>
    <row r="3" spans="1:69" s="226" customFormat="1">
      <c r="A3" s="553"/>
      <c r="B3" s="553"/>
      <c r="C3" s="553"/>
      <c r="D3" s="553"/>
      <c r="E3" s="553"/>
      <c r="F3" s="553"/>
      <c r="G3" s="553"/>
      <c r="H3" s="553"/>
      <c r="I3" s="553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</row>
    <row r="4" spans="1:69" s="226" customFormat="1">
      <c r="A4" s="553"/>
      <c r="B4" s="553"/>
      <c r="C4" s="553"/>
      <c r="D4" s="553"/>
      <c r="E4" s="553"/>
      <c r="F4" s="553"/>
      <c r="G4" s="553"/>
      <c r="H4" s="553"/>
      <c r="I4" s="553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</row>
    <row r="5" spans="1:69" s="224" customFormat="1" ht="9" customHeight="1">
      <c r="A5" s="553"/>
      <c r="B5" s="553"/>
      <c r="C5" s="553"/>
      <c r="D5" s="553"/>
      <c r="E5" s="553"/>
      <c r="F5" s="553"/>
      <c r="G5" s="553"/>
      <c r="H5" s="553"/>
      <c r="I5" s="553"/>
      <c r="J5" s="225"/>
      <c r="K5" s="227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</row>
    <row r="6" spans="1:69" s="222" customFormat="1" ht="34.5" customHeight="1">
      <c r="A6" s="554" t="s">
        <v>343</v>
      </c>
      <c r="B6" s="554"/>
      <c r="C6" s="554"/>
      <c r="D6" s="554"/>
      <c r="E6" s="554"/>
      <c r="F6" s="554"/>
      <c r="G6" s="554"/>
      <c r="H6" s="554"/>
      <c r="I6" s="554"/>
      <c r="J6" s="223"/>
      <c r="K6" s="227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</row>
    <row r="7" spans="1:69" s="219" customFormat="1" ht="9.75" customHeight="1">
      <c r="A7" s="556" t="s">
        <v>60</v>
      </c>
      <c r="B7" s="557" t="s">
        <v>342</v>
      </c>
      <c r="C7" s="547" t="s">
        <v>344</v>
      </c>
      <c r="D7" s="547" t="s">
        <v>345</v>
      </c>
      <c r="E7" s="547" t="s">
        <v>346</v>
      </c>
      <c r="F7" s="547" t="s">
        <v>558</v>
      </c>
      <c r="G7" s="547" t="s">
        <v>559</v>
      </c>
      <c r="H7" s="547" t="s">
        <v>560</v>
      </c>
      <c r="I7" s="555" t="s">
        <v>10</v>
      </c>
      <c r="J7" s="221"/>
      <c r="K7" s="541" t="s">
        <v>341</v>
      </c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0"/>
      <c r="BE7" s="220"/>
      <c r="BF7" s="220"/>
      <c r="BG7" s="220"/>
      <c r="BH7" s="220"/>
      <c r="BI7" s="220"/>
      <c r="BJ7" s="220"/>
      <c r="BK7" s="220"/>
      <c r="BL7" s="220"/>
      <c r="BM7" s="220"/>
      <c r="BN7" s="220"/>
      <c r="BO7" s="220"/>
      <c r="BP7" s="220"/>
      <c r="BQ7" s="220"/>
    </row>
    <row r="8" spans="1:69" s="219" customFormat="1" ht="14.25" customHeight="1">
      <c r="A8" s="556"/>
      <c r="B8" s="557"/>
      <c r="C8" s="548"/>
      <c r="D8" s="548"/>
      <c r="E8" s="548"/>
      <c r="F8" s="548"/>
      <c r="G8" s="548"/>
      <c r="H8" s="548"/>
      <c r="I8" s="555"/>
      <c r="J8" s="221"/>
      <c r="K8" s="542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220"/>
      <c r="BK8" s="220"/>
      <c r="BL8" s="220"/>
      <c r="BM8" s="220"/>
      <c r="BN8" s="220"/>
      <c r="BO8" s="220"/>
      <c r="BP8" s="220"/>
      <c r="BQ8" s="220"/>
    </row>
    <row r="9" spans="1:69" s="218" customFormat="1" ht="20.100000000000001" customHeight="1">
      <c r="A9" s="556"/>
      <c r="B9" s="557"/>
      <c r="C9" s="549"/>
      <c r="D9" s="549"/>
      <c r="E9" s="549"/>
      <c r="F9" s="549"/>
      <c r="G9" s="549"/>
      <c r="H9" s="549"/>
      <c r="I9" s="555"/>
      <c r="J9" s="210"/>
      <c r="K9" s="543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</row>
    <row r="10" spans="1:69" ht="5.0999999999999996" customHeight="1">
      <c r="A10" s="217"/>
      <c r="B10" s="216"/>
      <c r="C10" s="216"/>
      <c r="D10" s="216"/>
      <c r="E10" s="216"/>
      <c r="F10" s="216"/>
      <c r="G10" s="216"/>
      <c r="H10" s="216"/>
      <c r="I10" s="213"/>
      <c r="J10" s="195"/>
      <c r="K10" s="215"/>
    </row>
    <row r="11" spans="1:69" s="212" customFormat="1" ht="17.45" customHeight="1">
      <c r="A11" s="562">
        <v>1</v>
      </c>
      <c r="B11" s="544" t="str">
        <f>INDEX(RESUMO!B:B,MATCH(A11,RESUMO!A:A,0))</f>
        <v>SERVIÇOS PRELIMINARES</v>
      </c>
      <c r="C11" s="205">
        <f>$I11/$K11</f>
        <v>24886.799999999999</v>
      </c>
      <c r="D11" s="206"/>
      <c r="E11" s="206"/>
      <c r="F11" s="206"/>
      <c r="G11" s="206"/>
      <c r="H11" s="206"/>
      <c r="I11" s="228">
        <f>INDEX(RESUMO!C:C,MATCH(A11,RESUMO!A:A,0))</f>
        <v>24886.799999999999</v>
      </c>
      <c r="J11" s="210"/>
      <c r="K11" s="204">
        <v>1</v>
      </c>
    </row>
    <row r="12" spans="1:69" s="212" customFormat="1" ht="17.45" customHeight="1">
      <c r="A12" s="563"/>
      <c r="B12" s="540"/>
      <c r="C12" s="202">
        <f>C11/$I11</f>
        <v>1</v>
      </c>
      <c r="D12" s="203"/>
      <c r="E12" s="203"/>
      <c r="F12" s="203"/>
      <c r="G12" s="203"/>
      <c r="H12" s="203"/>
      <c r="I12" s="309">
        <f>SUM(C12:H12)</f>
        <v>1</v>
      </c>
      <c r="J12" s="210"/>
      <c r="K12" s="214"/>
    </row>
    <row r="13" spans="1:69" ht="9.9499999999999993" customHeight="1">
      <c r="A13" s="209"/>
      <c r="B13" s="195"/>
      <c r="C13" s="208"/>
      <c r="D13" s="208"/>
      <c r="E13" s="208"/>
      <c r="F13" s="208"/>
      <c r="G13" s="208"/>
      <c r="H13" s="208"/>
      <c r="I13" s="207"/>
      <c r="J13" s="195"/>
      <c r="K13" s="195"/>
    </row>
    <row r="14" spans="1:69" s="212" customFormat="1" ht="17.45" customHeight="1">
      <c r="A14" s="545">
        <v>2</v>
      </c>
      <c r="B14" s="544" t="str">
        <f>INDEX(RESUMO!B:B,MATCH(A14,RESUMO!A:A,0))</f>
        <v>MOBILIZAÇÃO</v>
      </c>
      <c r="C14" s="205">
        <f>$I14/$K14</f>
        <v>89977.34</v>
      </c>
      <c r="D14" s="205"/>
      <c r="E14" s="205"/>
      <c r="F14" s="205"/>
      <c r="G14" s="205"/>
      <c r="H14" s="205"/>
      <c r="I14" s="228">
        <f>INDEX(RESUMO!C:C,MATCH(A14,RESUMO!A:A,0))</f>
        <v>89977.34</v>
      </c>
      <c r="J14" s="210"/>
      <c r="K14" s="204">
        <v>1</v>
      </c>
    </row>
    <row r="15" spans="1:69" s="212" customFormat="1" ht="17.45" customHeight="1">
      <c r="A15" s="546"/>
      <c r="B15" s="540"/>
      <c r="C15" s="202">
        <f>C14/$I14</f>
        <v>1</v>
      </c>
      <c r="D15" s="229"/>
      <c r="E15" s="229"/>
      <c r="F15" s="229"/>
      <c r="G15" s="229"/>
      <c r="H15" s="229"/>
      <c r="I15" s="309">
        <f>SUM(C15:H15)</f>
        <v>1</v>
      </c>
      <c r="J15" s="210"/>
      <c r="K15" s="210"/>
    </row>
    <row r="16" spans="1:69" ht="9.9499999999999993" customHeight="1">
      <c r="A16" s="209"/>
      <c r="B16" s="195"/>
      <c r="C16" s="208"/>
      <c r="D16" s="208"/>
      <c r="E16" s="208"/>
      <c r="F16" s="208"/>
      <c r="G16" s="208"/>
      <c r="H16" s="208"/>
      <c r="I16" s="207"/>
      <c r="J16" s="195"/>
      <c r="K16" s="195"/>
    </row>
    <row r="17" spans="1:11" s="212" customFormat="1" ht="17.45" customHeight="1">
      <c r="A17" s="545">
        <v>3</v>
      </c>
      <c r="B17" s="544" t="str">
        <f>INDEX(RESUMO!B:B,MATCH(A17,RESUMO!A:A,0))</f>
        <v>DESMOBILIZAÇÃO</v>
      </c>
      <c r="C17" s="205"/>
      <c r="D17" s="205"/>
      <c r="E17" s="205"/>
      <c r="F17" s="205"/>
      <c r="G17" s="205"/>
      <c r="H17" s="205">
        <f>$I17/$K17</f>
        <v>89977.34</v>
      </c>
      <c r="I17" s="228">
        <f>INDEX(RESUMO!C:C,MATCH(A17,RESUMO!A:A,0))</f>
        <v>89977.34</v>
      </c>
      <c r="J17" s="210"/>
      <c r="K17" s="204">
        <v>1</v>
      </c>
    </row>
    <row r="18" spans="1:11" s="212" customFormat="1" ht="17.45" customHeight="1">
      <c r="A18" s="546"/>
      <c r="B18" s="540"/>
      <c r="C18" s="229"/>
      <c r="D18" s="229"/>
      <c r="E18" s="229"/>
      <c r="F18" s="229"/>
      <c r="G18" s="229"/>
      <c r="H18" s="202">
        <f>H17/$I17</f>
        <v>1</v>
      </c>
      <c r="I18" s="309">
        <f>SUM(C18:H18)</f>
        <v>1</v>
      </c>
      <c r="J18" s="210"/>
      <c r="K18" s="210"/>
    </row>
    <row r="19" spans="1:11" ht="9.9499999999999993" customHeight="1">
      <c r="A19" s="209"/>
      <c r="B19" s="195"/>
      <c r="C19" s="208"/>
      <c r="D19" s="208"/>
      <c r="E19" s="208"/>
      <c r="F19" s="208"/>
      <c r="G19" s="208"/>
      <c r="H19" s="208"/>
      <c r="I19" s="207"/>
      <c r="J19" s="195"/>
      <c r="K19" s="195"/>
    </row>
    <row r="20" spans="1:11" s="211" customFormat="1" ht="17.45" customHeight="1">
      <c r="A20" s="545">
        <v>4</v>
      </c>
      <c r="B20" s="544" t="str">
        <f>INDEX(RESUMO!B:B,MATCH(A20,RESUMO!A:A,0))</f>
        <v>ADMINISTRAÇÃO DA OBRA</v>
      </c>
      <c r="C20" s="205">
        <f t="shared" ref="C20:H20" si="0">$I20/$K20</f>
        <v>97241.61</v>
      </c>
      <c r="D20" s="205">
        <f t="shared" si="0"/>
        <v>97241.61</v>
      </c>
      <c r="E20" s="205">
        <f t="shared" si="0"/>
        <v>97241.61</v>
      </c>
      <c r="F20" s="205">
        <f t="shared" si="0"/>
        <v>97241.61</v>
      </c>
      <c r="G20" s="205">
        <f t="shared" si="0"/>
        <v>97241.61</v>
      </c>
      <c r="H20" s="205">
        <f t="shared" si="0"/>
        <v>97241.61</v>
      </c>
      <c r="I20" s="228">
        <f>INDEX(RESUMO!C:C,MATCH(A20,RESUMO!A:A,0))</f>
        <v>583449.66</v>
      </c>
      <c r="J20" s="195"/>
      <c r="K20" s="204">
        <v>6</v>
      </c>
    </row>
    <row r="21" spans="1:11" s="211" customFormat="1" ht="17.45" customHeight="1">
      <c r="A21" s="546"/>
      <c r="B21" s="540"/>
      <c r="C21" s="202">
        <f t="shared" ref="C21:H21" si="1">C20/$I20</f>
        <v>0.16666666666666666</v>
      </c>
      <c r="D21" s="202">
        <f t="shared" si="1"/>
        <v>0.16666666666666666</v>
      </c>
      <c r="E21" s="202">
        <f t="shared" si="1"/>
        <v>0.16666666666666666</v>
      </c>
      <c r="F21" s="202">
        <f t="shared" si="1"/>
        <v>0.16666666666666666</v>
      </c>
      <c r="G21" s="202">
        <f t="shared" si="1"/>
        <v>0.16666666666666666</v>
      </c>
      <c r="H21" s="202">
        <f t="shared" si="1"/>
        <v>0.16666666666666666</v>
      </c>
      <c r="I21" s="309">
        <f>SUM(C21:H21)</f>
        <v>0.99999999999999989</v>
      </c>
      <c r="J21" s="195"/>
      <c r="K21" s="210"/>
    </row>
    <row r="22" spans="1:11" ht="9.9499999999999993" customHeight="1">
      <c r="A22" s="209"/>
      <c r="B22" s="195"/>
      <c r="C22" s="208"/>
      <c r="D22" s="208"/>
      <c r="E22" s="208"/>
      <c r="F22" s="208"/>
      <c r="G22" s="208"/>
      <c r="H22" s="208"/>
      <c r="I22" s="207"/>
      <c r="J22" s="195"/>
      <c r="K22" s="195"/>
    </row>
    <row r="23" spans="1:11" s="211" customFormat="1" ht="17.45" customHeight="1">
      <c r="A23" s="545">
        <v>5</v>
      </c>
      <c r="B23" s="544" t="str">
        <f>INDEX(RESUMO!B:B,MATCH(A23,RESUMO!A:A,0))</f>
        <v>SISTEMA DE DRENAGEM SUBSUPERFICIAL DA BACIA DO FOREBAY</v>
      </c>
      <c r="C23" s="205">
        <f>$I23/$K23</f>
        <v>525161.48999999987</v>
      </c>
      <c r="D23" s="205">
        <f>$I23/$K23</f>
        <v>525161.48999999987</v>
      </c>
      <c r="E23" s="205">
        <f>$I23/$K23</f>
        <v>525161.48999999987</v>
      </c>
      <c r="F23" s="206"/>
      <c r="G23" s="206"/>
      <c r="H23" s="206"/>
      <c r="I23" s="228">
        <f>INDEX(RESUMO!C:C,MATCH(A23,RESUMO!A:A,0))</f>
        <v>1575484.4699999997</v>
      </c>
      <c r="J23" s="195"/>
      <c r="K23" s="204">
        <v>3</v>
      </c>
    </row>
    <row r="24" spans="1:11" s="211" customFormat="1" ht="17.45" customHeight="1">
      <c r="A24" s="546"/>
      <c r="B24" s="540"/>
      <c r="C24" s="202">
        <f>C23/$I23</f>
        <v>0.33333333333333331</v>
      </c>
      <c r="D24" s="202">
        <f>D23/$I23</f>
        <v>0.33333333333333331</v>
      </c>
      <c r="E24" s="202">
        <f>E23/$I23</f>
        <v>0.33333333333333331</v>
      </c>
      <c r="F24" s="203"/>
      <c r="G24" s="203"/>
      <c r="H24" s="203"/>
      <c r="I24" s="309">
        <f>SUM(C24:H24)</f>
        <v>1</v>
      </c>
      <c r="J24" s="195"/>
      <c r="K24" s="195"/>
    </row>
    <row r="25" spans="1:11" ht="9.9499999999999993" customHeight="1">
      <c r="A25" s="209"/>
      <c r="B25" s="195"/>
      <c r="C25" s="208"/>
      <c r="D25" s="208"/>
      <c r="E25" s="208"/>
      <c r="F25" s="208"/>
      <c r="G25" s="208"/>
      <c r="H25" s="208"/>
      <c r="I25" s="207"/>
      <c r="J25" s="195"/>
      <c r="K25" s="195"/>
    </row>
    <row r="26" spans="1:11" ht="17.45" customHeight="1">
      <c r="A26" s="545">
        <v>6</v>
      </c>
      <c r="B26" s="544" t="str">
        <f>INDEX(RESUMO!B:B,MATCH(A26,RESUMO!A:A,0))</f>
        <v>IMPERMEABILIZAÇÃO DA BERMA DE O&amp;M DO FOREBAY</v>
      </c>
      <c r="C26" s="206"/>
      <c r="D26" s="206"/>
      <c r="E26" s="205">
        <f>$I26/$K26</f>
        <v>265883.14999999997</v>
      </c>
      <c r="F26" s="205">
        <f>$I26/$K26</f>
        <v>265883.14999999997</v>
      </c>
      <c r="G26" s="205">
        <f>$I26/$K26</f>
        <v>265883.14999999997</v>
      </c>
      <c r="H26" s="205"/>
      <c r="I26" s="228">
        <f>INDEX(RESUMO!C:C,MATCH(A26,RESUMO!A:A,0))</f>
        <v>797649.45</v>
      </c>
      <c r="J26" s="195"/>
      <c r="K26" s="204">
        <v>3</v>
      </c>
    </row>
    <row r="27" spans="1:11" ht="17.45" customHeight="1">
      <c r="A27" s="546"/>
      <c r="B27" s="540"/>
      <c r="C27" s="203"/>
      <c r="D27" s="203"/>
      <c r="E27" s="202">
        <f>E26/$I26</f>
        <v>0.33333333333333331</v>
      </c>
      <c r="F27" s="202">
        <f>F26/$I26</f>
        <v>0.33333333333333331</v>
      </c>
      <c r="G27" s="202">
        <f>G26/$I26</f>
        <v>0.33333333333333331</v>
      </c>
      <c r="H27" s="229"/>
      <c r="I27" s="309">
        <f>SUM(C27:H27)</f>
        <v>1</v>
      </c>
      <c r="J27" s="195"/>
      <c r="K27" s="210"/>
    </row>
    <row r="28" spans="1:11" ht="9.9499999999999993" customHeight="1">
      <c r="A28" s="209"/>
      <c r="B28" s="195"/>
      <c r="C28" s="208"/>
      <c r="D28" s="208"/>
      <c r="E28" s="208"/>
      <c r="F28" s="208"/>
      <c r="G28" s="208"/>
      <c r="H28" s="208"/>
      <c r="I28" s="207"/>
      <c r="J28" s="195"/>
      <c r="K28" s="195"/>
    </row>
    <row r="29" spans="1:11" ht="17.45" customHeight="1">
      <c r="A29" s="550">
        <v>7</v>
      </c>
      <c r="B29" s="539" t="str">
        <f>INDEX(RESUMO!B:B,MATCH(A29,RESUMO!A:A,0))</f>
        <v>DRENAGEM DE BERMA DE O&amp;M E DRENAGEM EXTERNA</v>
      </c>
      <c r="C29" s="206"/>
      <c r="D29" s="206"/>
      <c r="E29" s="206"/>
      <c r="F29" s="205"/>
      <c r="G29" s="205">
        <f>$I29/$K29</f>
        <v>48845.824999999997</v>
      </c>
      <c r="H29" s="205">
        <f>$I29/$K29</f>
        <v>48845.824999999997</v>
      </c>
      <c r="I29" s="228">
        <f>INDEX(RESUMO!C:C,MATCH(A29,RESUMO!A:A,0))</f>
        <v>97691.65</v>
      </c>
      <c r="J29" s="195"/>
      <c r="K29" s="204">
        <v>2</v>
      </c>
    </row>
    <row r="30" spans="1:11" ht="17.45" customHeight="1">
      <c r="A30" s="546"/>
      <c r="B30" s="540"/>
      <c r="C30" s="203"/>
      <c r="D30" s="203"/>
      <c r="E30" s="203"/>
      <c r="F30" s="229"/>
      <c r="G30" s="202">
        <f>G29/$I29</f>
        <v>0.5</v>
      </c>
      <c r="H30" s="202">
        <f>H29/$I29</f>
        <v>0.5</v>
      </c>
      <c r="I30" s="309">
        <f>SUM(C30:H30)</f>
        <v>1</v>
      </c>
      <c r="J30" s="195"/>
      <c r="K30" s="195"/>
    </row>
    <row r="31" spans="1:11" ht="9.9499999999999993" customHeight="1">
      <c r="A31" s="209"/>
      <c r="B31" s="195"/>
      <c r="C31" s="208"/>
      <c r="D31" s="208"/>
      <c r="E31" s="208"/>
      <c r="F31" s="208"/>
      <c r="G31" s="208"/>
      <c r="H31" s="208"/>
      <c r="I31" s="207"/>
      <c r="J31" s="195"/>
      <c r="K31" s="195"/>
    </row>
    <row r="32" spans="1:11" ht="17.45" customHeight="1">
      <c r="A32" s="550">
        <v>8</v>
      </c>
      <c r="B32" s="539" t="str">
        <f>INDEX(RESUMO!B:B,MATCH(A32,RESUMO!A:A,0))</f>
        <v>IMPERMEABILIZAÇÃO DO FOREBAY</v>
      </c>
      <c r="C32" s="206"/>
      <c r="D32" s="206"/>
      <c r="E32" s="206"/>
      <c r="F32" s="205"/>
      <c r="G32" s="205">
        <f>$I32/$K32</f>
        <v>2201691.2999999998</v>
      </c>
      <c r="H32" s="205">
        <f>$I32/$K32</f>
        <v>2201691.2999999998</v>
      </c>
      <c r="I32" s="228">
        <f>INDEX(RESUMO!C:C,MATCH(A32,RESUMO!A:A,0))</f>
        <v>4403382.5999999996</v>
      </c>
      <c r="J32" s="195"/>
      <c r="K32" s="204">
        <v>2</v>
      </c>
    </row>
    <row r="33" spans="1:11" ht="17.45" customHeight="1">
      <c r="A33" s="546"/>
      <c r="B33" s="540"/>
      <c r="C33" s="203"/>
      <c r="D33" s="203"/>
      <c r="E33" s="203"/>
      <c r="F33" s="229"/>
      <c r="G33" s="202">
        <f>G32/$I32</f>
        <v>0.5</v>
      </c>
      <c r="H33" s="202">
        <f>H32/$I32</f>
        <v>0.5</v>
      </c>
      <c r="I33" s="309">
        <f>SUM(C33:H33)</f>
        <v>1</v>
      </c>
      <c r="J33" s="195"/>
      <c r="K33" s="195"/>
    </row>
    <row r="34" spans="1:11" ht="5.0999999999999996" customHeight="1" thickBot="1">
      <c r="A34" s="201"/>
      <c r="B34" s="200"/>
      <c r="C34" s="199"/>
      <c r="D34" s="199"/>
      <c r="E34" s="199"/>
      <c r="F34" s="199"/>
      <c r="G34" s="199"/>
      <c r="H34" s="199"/>
      <c r="I34" s="198"/>
      <c r="J34" s="195"/>
      <c r="K34" s="195"/>
    </row>
    <row r="35" spans="1:11" ht="15" customHeight="1">
      <c r="A35" s="558"/>
      <c r="B35" s="560" t="s">
        <v>67</v>
      </c>
      <c r="C35" s="299">
        <f t="shared" ref="C35:H35" si="2">C11+C14+C17+C20+C23+C26+C29+C32</f>
        <v>737267.23999999987</v>
      </c>
      <c r="D35" s="299">
        <f t="shared" si="2"/>
        <v>622403.09999999986</v>
      </c>
      <c r="E35" s="299">
        <f t="shared" si="2"/>
        <v>888286.24999999977</v>
      </c>
      <c r="F35" s="299">
        <f t="shared" si="2"/>
        <v>363124.75999999995</v>
      </c>
      <c r="G35" s="299">
        <f t="shared" si="2"/>
        <v>2613661.8849999998</v>
      </c>
      <c r="H35" s="299">
        <f t="shared" si="2"/>
        <v>2437756.0749999997</v>
      </c>
      <c r="I35" s="197">
        <f>SUM(C35:H35)</f>
        <v>7662499.3099999987</v>
      </c>
      <c r="J35" s="195"/>
      <c r="K35" s="195"/>
    </row>
    <row r="36" spans="1:11" ht="15" customHeight="1" thickBot="1">
      <c r="A36" s="559"/>
      <c r="B36" s="561"/>
      <c r="C36" s="300">
        <f t="shared" ref="C36:H36" si="3">C35/$I35</f>
        <v>9.6217593003607077E-2</v>
      </c>
      <c r="D36" s="300">
        <f t="shared" si="3"/>
        <v>8.1227165552593045E-2</v>
      </c>
      <c r="E36" s="300">
        <f t="shared" si="3"/>
        <v>0.11592643784525182</v>
      </c>
      <c r="F36" s="300">
        <f t="shared" si="3"/>
        <v>4.73898587535403E-2</v>
      </c>
      <c r="G36" s="300">
        <f t="shared" si="3"/>
        <v>0.3410978297367051</v>
      </c>
      <c r="H36" s="300">
        <f t="shared" si="3"/>
        <v>0.31814111510830273</v>
      </c>
      <c r="I36" s="196">
        <f>SUM(C36:H36)</f>
        <v>1</v>
      </c>
      <c r="J36" s="195"/>
      <c r="K36" s="195"/>
    </row>
    <row r="37" spans="1:11" ht="9.9499999999999993" customHeight="1" thickBot="1">
      <c r="A37" s="230"/>
      <c r="B37" s="191"/>
      <c r="C37" s="191"/>
      <c r="D37" s="191"/>
      <c r="E37" s="191"/>
      <c r="F37" s="191"/>
      <c r="G37" s="191"/>
      <c r="H37" s="191"/>
      <c r="I37" s="231"/>
      <c r="J37" s="195"/>
      <c r="K37" s="195"/>
    </row>
    <row r="38" spans="1:11" ht="15" customHeight="1">
      <c r="A38" s="558"/>
      <c r="B38" s="560" t="s">
        <v>340</v>
      </c>
      <c r="C38" s="299">
        <f>SUM($C35:C35)</f>
        <v>737267.23999999987</v>
      </c>
      <c r="D38" s="299">
        <f>SUM($C35:D35)</f>
        <v>1359670.3399999999</v>
      </c>
      <c r="E38" s="299">
        <f>SUM($C35:E35)</f>
        <v>2247956.59</v>
      </c>
      <c r="F38" s="299">
        <f>SUM($C35:F35)</f>
        <v>2611081.3499999996</v>
      </c>
      <c r="G38" s="299">
        <f>SUM($C35:G35)</f>
        <v>5224743.2349999994</v>
      </c>
      <c r="H38" s="299">
        <f>SUM($C35:H35)</f>
        <v>7662499.3099999987</v>
      </c>
      <c r="I38" s="197">
        <f>H38</f>
        <v>7662499.3099999987</v>
      </c>
      <c r="J38" s="195"/>
      <c r="K38" s="195"/>
    </row>
    <row r="39" spans="1:11" ht="15" customHeight="1" thickBot="1">
      <c r="A39" s="559"/>
      <c r="B39" s="561"/>
      <c r="C39" s="300">
        <f>SUM($C36:C36)</f>
        <v>9.6217593003607077E-2</v>
      </c>
      <c r="D39" s="300">
        <f>SUM($C36:D36)</f>
        <v>0.17744475855620012</v>
      </c>
      <c r="E39" s="300">
        <f>SUM($C36:E36)</f>
        <v>0.29337119640145193</v>
      </c>
      <c r="F39" s="300">
        <f>SUM($C36:F36)</f>
        <v>0.34076105515499222</v>
      </c>
      <c r="G39" s="300">
        <f>SUM($C36:G36)</f>
        <v>0.68185888489169733</v>
      </c>
      <c r="H39" s="300">
        <f>SUM($C36:H36)</f>
        <v>1</v>
      </c>
      <c r="I39" s="196">
        <f>H39</f>
        <v>1</v>
      </c>
      <c r="J39" s="195"/>
      <c r="K39" s="195"/>
    </row>
  </sheetData>
  <sheetProtection selectLockedCells="1" selectUnlockedCells="1"/>
  <mergeCells count="32">
    <mergeCell ref="A38:A39"/>
    <mergeCell ref="B38:B39"/>
    <mergeCell ref="A32:A33"/>
    <mergeCell ref="B32:B33"/>
    <mergeCell ref="A11:A12"/>
    <mergeCell ref="B11:B12"/>
    <mergeCell ref="A17:A18"/>
    <mergeCell ref="B14:B15"/>
    <mergeCell ref="B17:B18"/>
    <mergeCell ref="A20:A21"/>
    <mergeCell ref="A23:A24"/>
    <mergeCell ref="A26:A27"/>
    <mergeCell ref="B23:B24"/>
    <mergeCell ref="B26:B27"/>
    <mergeCell ref="A35:A36"/>
    <mergeCell ref="B35:B36"/>
    <mergeCell ref="A1:I5"/>
    <mergeCell ref="A6:I6"/>
    <mergeCell ref="I7:I9"/>
    <mergeCell ref="A7:A9"/>
    <mergeCell ref="B7:B9"/>
    <mergeCell ref="H7:H9"/>
    <mergeCell ref="B29:B30"/>
    <mergeCell ref="K7:K9"/>
    <mergeCell ref="B20:B21"/>
    <mergeCell ref="A14:A15"/>
    <mergeCell ref="C7:C9"/>
    <mergeCell ref="D7:D9"/>
    <mergeCell ref="E7:E9"/>
    <mergeCell ref="F7:F9"/>
    <mergeCell ref="G7:G9"/>
    <mergeCell ref="A29:A30"/>
  </mergeCells>
  <printOptions horizontalCentered="1"/>
  <pageMargins left="0.39370078740157483" right="0" top="0.78740157480314965" bottom="0.39370078740157483" header="0" footer="0"/>
  <pageSetup paperSize="9" scale="70" firstPageNumber="0" fitToHeight="0" orientation="landscape" r:id="rId1"/>
  <headerFooter alignWithMargins="0">
    <oddFooter>&amp;CPágina &amp;P de &amp;N</oddFooter>
  </headerFooter>
  <colBreaks count="1" manualBreakCount="1">
    <brk id="9" max="8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S331"/>
  <sheetViews>
    <sheetView view="pageBreakPreview" zoomScaleNormal="100" zoomScaleSheetLayoutView="100" workbookViewId="0">
      <selection activeCell="I34" sqref="I34:I50"/>
    </sheetView>
  </sheetViews>
  <sheetFormatPr defaultRowHeight="15"/>
  <cols>
    <col min="2" max="2" width="40.7109375" style="95" customWidth="1"/>
    <col min="3" max="6" width="10.7109375" customWidth="1"/>
    <col min="7" max="7" width="10.7109375" style="1" customWidth="1"/>
    <col min="8" max="8" width="10.7109375" customWidth="1"/>
    <col min="9" max="9" width="9.7109375" customWidth="1"/>
    <col min="10" max="12" width="10.28515625" bestFit="1" customWidth="1"/>
    <col min="13" max="13" width="8.140625" customWidth="1"/>
    <col min="14" max="14" width="2.7109375" customWidth="1"/>
    <col min="15" max="15" width="9.140625" style="317"/>
  </cols>
  <sheetData>
    <row r="1" spans="1:16">
      <c r="A1" s="4"/>
      <c r="B1" s="232"/>
      <c r="C1" s="4"/>
      <c r="D1" s="4"/>
      <c r="E1" s="4"/>
      <c r="F1" s="4"/>
      <c r="G1" s="5"/>
      <c r="H1" s="4"/>
      <c r="I1" s="4"/>
      <c r="J1" s="4"/>
      <c r="K1" s="4"/>
      <c r="L1" s="4"/>
      <c r="M1" s="4"/>
    </row>
    <row r="2" spans="1:16">
      <c r="A2" s="4"/>
      <c r="B2" s="232"/>
      <c r="C2" s="4"/>
      <c r="D2" s="4"/>
      <c r="E2" s="4"/>
      <c r="F2" s="4"/>
      <c r="G2" s="5"/>
      <c r="H2" s="4"/>
      <c r="I2" s="4"/>
      <c r="J2" s="4"/>
      <c r="K2" s="4"/>
      <c r="L2" s="4"/>
      <c r="M2" s="4"/>
    </row>
    <row r="3" spans="1:16">
      <c r="A3" s="4"/>
      <c r="B3" s="232"/>
      <c r="C3" s="4"/>
      <c r="D3" s="4"/>
      <c r="E3" s="4"/>
      <c r="F3" s="4"/>
      <c r="G3" s="5"/>
      <c r="H3" s="4"/>
      <c r="I3" s="4"/>
      <c r="J3" s="4"/>
      <c r="K3" s="4"/>
      <c r="L3" s="4"/>
      <c r="M3" s="4"/>
    </row>
    <row r="4" spans="1:16" ht="18">
      <c r="A4" s="585" t="s">
        <v>39</v>
      </c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</row>
    <row r="5" spans="1:16" ht="18">
      <c r="A5" s="23"/>
      <c r="B5" s="255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6" s="97" customFormat="1" ht="30" customHeight="1">
      <c r="A6" s="272">
        <v>1</v>
      </c>
      <c r="B6" s="273" t="str">
        <f>INDEX(ORÇAMENTO!E:E,MATCH(A6,ORÇAMENTO!A:A,0))</f>
        <v>SERVIÇOS PRELIMINARES</v>
      </c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5"/>
      <c r="O6" s="318" t="str">
        <f>IFERROR(IF(L6="","",INDEX(ORÇAMENTO!C:C,MATCH(A6,ORÇAMENTO!A:A,0))),"")</f>
        <v/>
      </c>
      <c r="P6" s="93" t="str">
        <f>IFERROR(IF(L6="","",INDEX(ORÇAMENTO!D:D,MATCH(A6,ORÇAMENTO!A:A,0))),"")</f>
        <v/>
      </c>
    </row>
    <row r="7" spans="1:16" s="158" customFormat="1" ht="16.5">
      <c r="A7" s="278" t="s">
        <v>40</v>
      </c>
      <c r="B7" s="576" t="str">
        <f>INDEX(ORÇAMENTO!E:E,MATCH(A7,ORÇAMENTO!A:A,0))</f>
        <v>CANTEIRO DE OBRAS</v>
      </c>
      <c r="C7" s="577" t="e">
        <f>INDEX(ORÇAMENTO!F:F,MATCH(B7,ORÇAMENTO!B:B,0))</f>
        <v>#N/A</v>
      </c>
      <c r="D7" s="577" t="e">
        <f>INDEX(ORÇAMENTO!G:G,MATCH(C7,ORÇAMENTO!C:C,0))</f>
        <v>#N/A</v>
      </c>
      <c r="E7" s="577" t="e">
        <f>INDEX(ORÇAMENTO!H:H,MATCH(D7,ORÇAMENTO!D:D,0))</f>
        <v>#N/A</v>
      </c>
      <c r="F7" s="577" t="e">
        <f>INDEX(ORÇAMENTO!I:I,MATCH(E7,ORÇAMENTO!E:E,0))</f>
        <v>#N/A</v>
      </c>
      <c r="G7" s="577" t="e">
        <f>INDEX(ORÇAMENTO!J:J,MATCH(F7,ORÇAMENTO!F:F,0))</f>
        <v>#N/A</v>
      </c>
      <c r="H7" s="577" t="e">
        <f>INDEX(ORÇAMENTO!K:K,MATCH(G7,ORÇAMENTO!G:G,0))</f>
        <v>#N/A</v>
      </c>
      <c r="I7" s="577" t="e">
        <f>INDEX(ORÇAMENTO!L:L,MATCH(H7,ORÇAMENTO!H:H,0))</f>
        <v>#N/A</v>
      </c>
      <c r="J7" s="577" t="e">
        <f>INDEX(ORÇAMENTO!M:M,MATCH(I7,ORÇAMENTO!I:I,0))</f>
        <v>#N/A</v>
      </c>
      <c r="K7" s="577" t="e">
        <f>INDEX(ORÇAMENTO!N:N,MATCH(J7,ORÇAMENTO!J:J,0))</f>
        <v>#N/A</v>
      </c>
      <c r="L7" s="577" t="e">
        <f>INDEX(ORÇAMENTO!O:O,MATCH(K7,ORÇAMENTO!K:K,0))</f>
        <v>#N/A</v>
      </c>
      <c r="M7" s="578" t="e">
        <f>INDEX(ORÇAMENTO!P:P,MATCH(L7,ORÇAMENTO!L:L,0))</f>
        <v>#N/A</v>
      </c>
      <c r="O7" s="318" t="str">
        <f>IFERROR(IF(L7="","",INDEX(ORÇAMENTO!C:C,MATCH(A7,ORÇAMENTO!A:A,0))),"")</f>
        <v/>
      </c>
      <c r="P7" s="93" t="str">
        <f>IFERROR(IF(L7="","",INDEX(ORÇAMENTO!D:D,MATCH(A7,ORÇAMENTO!A:A,0))),"")</f>
        <v/>
      </c>
    </row>
    <row r="8" spans="1:16" s="61" customFormat="1" ht="15" customHeight="1">
      <c r="A8" s="63" t="s">
        <v>136</v>
      </c>
      <c r="B8" s="586" t="s">
        <v>125</v>
      </c>
      <c r="C8" s="587"/>
      <c r="D8" s="587"/>
      <c r="E8" s="587"/>
      <c r="F8" s="587"/>
      <c r="G8" s="587"/>
      <c r="H8" s="587"/>
      <c r="I8" s="587"/>
      <c r="J8" s="587"/>
      <c r="K8" s="588"/>
      <c r="L8" s="332">
        <f>ROUND(F11,2)</f>
        <v>6</v>
      </c>
      <c r="M8" s="79" t="s">
        <v>120</v>
      </c>
      <c r="O8" s="318">
        <f>IFERROR(IF(L8="","",INDEX(ORÇAMENTO!C:C,MATCH(A8,ORÇAMENTO!A:A,0))),"")</f>
        <v>10776</v>
      </c>
      <c r="P8" s="93" t="str">
        <f>IFERROR(IF(L8="","",INDEX(ORÇAMENTO!D:D,MATCH(A8,ORÇAMENTO!A:A,0))),"")</f>
        <v>SINAPI</v>
      </c>
    </row>
    <row r="9" spans="1:16" s="61" customFormat="1">
      <c r="A9" s="18"/>
      <c r="B9" s="451" t="s">
        <v>11</v>
      </c>
      <c r="C9" s="334" t="s">
        <v>42</v>
      </c>
      <c r="D9" s="334" t="s">
        <v>41</v>
      </c>
      <c r="E9" s="334" t="s">
        <v>43</v>
      </c>
      <c r="F9" s="334" t="s">
        <v>119</v>
      </c>
      <c r="G9" s="334" t="s">
        <v>45</v>
      </c>
      <c r="H9" s="334" t="s">
        <v>46</v>
      </c>
      <c r="I9" s="268"/>
      <c r="J9" s="268"/>
      <c r="K9" s="268"/>
      <c r="L9" s="271"/>
      <c r="M9" s="268"/>
      <c r="O9" s="318" t="str">
        <f>IFERROR(IF(L9="","",INDEX(ORÇAMENTO!C:C,MATCH(A9,ORÇAMENTO!A:A,0))),"")</f>
        <v/>
      </c>
      <c r="P9" s="93" t="str">
        <f>IFERROR(IF(L9="","",INDEX(ORÇAMENTO!D:D,MATCH(A9,ORÇAMENTO!A:A,0))),"")</f>
        <v/>
      </c>
    </row>
    <row r="10" spans="1:16" s="61" customFormat="1" ht="30" customHeight="1">
      <c r="A10" s="18"/>
      <c r="B10" s="335" t="s">
        <v>121</v>
      </c>
      <c r="C10" s="336"/>
      <c r="D10" s="337"/>
      <c r="E10" s="336"/>
      <c r="F10" s="265">
        <v>6</v>
      </c>
      <c r="G10" s="267"/>
      <c r="H10" s="267"/>
      <c r="I10" s="268"/>
      <c r="J10" s="268"/>
      <c r="K10" s="268"/>
      <c r="L10" s="271"/>
      <c r="M10" s="271"/>
      <c r="O10" s="318" t="str">
        <f>IFERROR(IF(L10="","",INDEX(ORÇAMENTO!C:C,MATCH(A10,ORÇAMENTO!A:A,0))),"")</f>
        <v/>
      </c>
      <c r="P10" s="93" t="str">
        <f>IFERROR(IF(L10="","",INDEX(ORÇAMENTO!D:D,MATCH(A10,ORÇAMENTO!A:A,0))),"")</f>
        <v/>
      </c>
    </row>
    <row r="11" spans="1:16" s="61" customFormat="1">
      <c r="A11" s="18"/>
      <c r="B11" s="338"/>
      <c r="C11" s="267"/>
      <c r="D11" s="267"/>
      <c r="E11" s="269" t="s">
        <v>47</v>
      </c>
      <c r="F11" s="270">
        <f>SUM(F10)</f>
        <v>6</v>
      </c>
      <c r="G11" s="270"/>
      <c r="H11" s="268"/>
      <c r="I11" s="268"/>
      <c r="J11" s="268"/>
      <c r="K11" s="268"/>
      <c r="L11" s="271"/>
      <c r="M11" s="271"/>
      <c r="O11" s="318" t="str">
        <f>IFERROR(IF(L11="","",INDEX(ORÇAMENTO!C:C,MATCH(A11,ORÇAMENTO!A:A,0))),"")</f>
        <v/>
      </c>
      <c r="P11" s="93" t="str">
        <f>IFERROR(IF(L11="","",INDEX(ORÇAMENTO!D:D,MATCH(A11,ORÇAMENTO!A:A,0))),"")</f>
        <v/>
      </c>
    </row>
    <row r="12" spans="1:16" s="61" customFormat="1" ht="15" customHeight="1">
      <c r="A12" s="63" t="s">
        <v>175</v>
      </c>
      <c r="B12" s="586" t="s">
        <v>126</v>
      </c>
      <c r="C12" s="589"/>
      <c r="D12" s="589"/>
      <c r="E12" s="589"/>
      <c r="F12" s="589"/>
      <c r="G12" s="589"/>
      <c r="H12" s="589"/>
      <c r="I12" s="589"/>
      <c r="J12" s="589"/>
      <c r="K12" s="588"/>
      <c r="L12" s="332">
        <f>ROUND(F15,2)</f>
        <v>6</v>
      </c>
      <c r="M12" s="79" t="s">
        <v>120</v>
      </c>
      <c r="O12" s="318" t="str">
        <f>IFERROR(IF(L12="","",INDEX(ORÇAMENTO!C:C,MATCH(A12,ORÇAMENTO!A:A,0))),"")</f>
        <v>COMP5</v>
      </c>
      <c r="P12" s="93" t="str">
        <f>IFERROR(IF(L12="","",INDEX(ORÇAMENTO!D:D,MATCH(A12,ORÇAMENTO!A:A,0))),"")</f>
        <v>SINAPI</v>
      </c>
    </row>
    <row r="13" spans="1:16" s="61" customFormat="1">
      <c r="A13" s="18"/>
      <c r="B13" s="333"/>
      <c r="C13" s="334" t="s">
        <v>42</v>
      </c>
      <c r="D13" s="334" t="s">
        <v>41</v>
      </c>
      <c r="E13" s="334" t="s">
        <v>43</v>
      </c>
      <c r="F13" s="334" t="s">
        <v>119</v>
      </c>
      <c r="G13" s="334" t="s">
        <v>45</v>
      </c>
      <c r="H13" s="334" t="s">
        <v>46</v>
      </c>
      <c r="I13" s="268"/>
      <c r="J13" s="268"/>
      <c r="K13" s="268"/>
      <c r="L13" s="271"/>
      <c r="M13" s="268"/>
      <c r="O13" s="318" t="str">
        <f>IFERROR(IF(L13="","",INDEX(ORÇAMENTO!C:C,MATCH(A13,ORÇAMENTO!A:A,0))),"")</f>
        <v/>
      </c>
      <c r="P13" s="93" t="str">
        <f>IFERROR(IF(L13="","",INDEX(ORÇAMENTO!D:D,MATCH(A13,ORÇAMENTO!A:A,0))),"")</f>
        <v/>
      </c>
    </row>
    <row r="14" spans="1:16" s="61" customFormat="1" ht="30" customHeight="1">
      <c r="A14" s="18"/>
      <c r="B14" s="335" t="s">
        <v>122</v>
      </c>
      <c r="C14" s="336"/>
      <c r="D14" s="337"/>
      <c r="E14" s="336"/>
      <c r="F14" s="265">
        <v>6</v>
      </c>
      <c r="G14" s="267"/>
      <c r="H14" s="267"/>
      <c r="I14" s="268"/>
      <c r="J14" s="268"/>
      <c r="K14" s="268"/>
      <c r="L14" s="271"/>
      <c r="M14" s="271"/>
      <c r="O14" s="318" t="str">
        <f>IFERROR(IF(L14="","",INDEX(ORÇAMENTO!C:C,MATCH(A14,ORÇAMENTO!A:A,0))),"")</f>
        <v/>
      </c>
      <c r="P14" s="93" t="str">
        <f>IFERROR(IF(L14="","",INDEX(ORÇAMENTO!D:D,MATCH(A14,ORÇAMENTO!A:A,0))),"")</f>
        <v/>
      </c>
    </row>
    <row r="15" spans="1:16" s="61" customFormat="1">
      <c r="A15" s="18"/>
      <c r="B15" s="338"/>
      <c r="C15" s="267"/>
      <c r="D15" s="267"/>
      <c r="E15" s="269" t="s">
        <v>47</v>
      </c>
      <c r="F15" s="270">
        <f>SUM(F14)</f>
        <v>6</v>
      </c>
      <c r="G15" s="270"/>
      <c r="H15" s="268"/>
      <c r="I15" s="268"/>
      <c r="J15" s="268"/>
      <c r="K15" s="268"/>
      <c r="L15" s="271"/>
      <c r="M15" s="271"/>
      <c r="O15" s="318" t="str">
        <f>IFERROR(IF(L15="","",INDEX(ORÇAMENTO!C:C,MATCH(A15,ORÇAMENTO!A:A,0))),"")</f>
        <v/>
      </c>
      <c r="P15" s="93" t="str">
        <f>IFERROR(IF(L15="","",INDEX(ORÇAMENTO!D:D,MATCH(A15,ORÇAMENTO!A:A,0))),"")</f>
        <v/>
      </c>
    </row>
    <row r="16" spans="1:16" s="158" customFormat="1" ht="15" customHeight="1">
      <c r="A16" s="63" t="s">
        <v>176</v>
      </c>
      <c r="B16" s="586" t="s">
        <v>382</v>
      </c>
      <c r="C16" s="589"/>
      <c r="D16" s="589"/>
      <c r="E16" s="589"/>
      <c r="F16" s="589"/>
      <c r="G16" s="589"/>
      <c r="H16" s="589"/>
      <c r="I16" s="589"/>
      <c r="J16" s="589"/>
      <c r="K16" s="588"/>
      <c r="L16" s="332">
        <f>ROUND(F19,2)</f>
        <v>6</v>
      </c>
      <c r="M16" s="79" t="s">
        <v>120</v>
      </c>
      <c r="O16" s="318" t="str">
        <f>IFERROR(IF(L16="","",INDEX(ORÇAMENTO!C:C,MATCH(A16,ORÇAMENTO!A:A,0))),"")</f>
        <v>COMP6</v>
      </c>
      <c r="P16" s="93" t="str">
        <f>IFERROR(IF(L16="","",INDEX(ORÇAMENTO!D:D,MATCH(A16,ORÇAMENTO!A:A,0))),"")</f>
        <v>SINAPI</v>
      </c>
    </row>
    <row r="17" spans="1:16" s="158" customFormat="1">
      <c r="A17" s="18"/>
      <c r="B17" s="333"/>
      <c r="C17" s="334" t="s">
        <v>42</v>
      </c>
      <c r="D17" s="334" t="s">
        <v>41</v>
      </c>
      <c r="E17" s="334" t="s">
        <v>43</v>
      </c>
      <c r="F17" s="334" t="s">
        <v>119</v>
      </c>
      <c r="G17" s="334" t="s">
        <v>45</v>
      </c>
      <c r="H17" s="334" t="s">
        <v>46</v>
      </c>
      <c r="I17" s="268"/>
      <c r="J17" s="268"/>
      <c r="K17" s="268"/>
      <c r="L17" s="271"/>
      <c r="M17" s="268"/>
      <c r="O17" s="318" t="str">
        <f>IFERROR(IF(L17="","",INDEX(ORÇAMENTO!C:C,MATCH(A17,ORÇAMENTO!A:A,0))),"")</f>
        <v/>
      </c>
      <c r="P17" s="93" t="str">
        <f>IFERROR(IF(L17="","",INDEX(ORÇAMENTO!D:D,MATCH(A17,ORÇAMENTO!A:A,0))),"")</f>
        <v/>
      </c>
    </row>
    <row r="18" spans="1:16" s="158" customFormat="1" ht="30" customHeight="1">
      <c r="A18" s="18"/>
      <c r="B18" s="335" t="s">
        <v>383</v>
      </c>
      <c r="C18" s="336"/>
      <c r="D18" s="337"/>
      <c r="E18" s="336"/>
      <c r="F18" s="265">
        <v>6</v>
      </c>
      <c r="G18" s="267"/>
      <c r="H18" s="267"/>
      <c r="I18" s="268"/>
      <c r="J18" s="268"/>
      <c r="K18" s="268"/>
      <c r="L18" s="271"/>
      <c r="M18" s="271"/>
      <c r="O18" s="318" t="str">
        <f>IFERROR(IF(L18="","",INDEX(ORÇAMENTO!C:C,MATCH(A18,ORÇAMENTO!A:A,0))),"")</f>
        <v/>
      </c>
      <c r="P18" s="93" t="str">
        <f>IFERROR(IF(L18="","",INDEX(ORÇAMENTO!D:D,MATCH(A18,ORÇAMENTO!A:A,0))),"")</f>
        <v/>
      </c>
    </row>
    <row r="19" spans="1:16" s="158" customFormat="1">
      <c r="A19" s="18"/>
      <c r="B19" s="338"/>
      <c r="C19" s="267"/>
      <c r="D19" s="267"/>
      <c r="E19" s="269" t="s">
        <v>47</v>
      </c>
      <c r="F19" s="270">
        <f>SUM(F18)</f>
        <v>6</v>
      </c>
      <c r="G19" s="270"/>
      <c r="H19" s="268"/>
      <c r="I19" s="268"/>
      <c r="J19" s="268"/>
      <c r="K19" s="268"/>
      <c r="L19" s="271"/>
      <c r="M19" s="271"/>
      <c r="O19" s="318" t="str">
        <f>IFERROR(IF(L19="","",INDEX(ORÇAMENTO!C:C,MATCH(A19,ORÇAMENTO!A:A,0))),"")</f>
        <v/>
      </c>
      <c r="P19" s="93" t="str">
        <f>IFERROR(IF(L19="","",INDEX(ORÇAMENTO!D:D,MATCH(A19,ORÇAMENTO!A:A,0))),"")</f>
        <v/>
      </c>
    </row>
    <row r="20" spans="1:16" s="61" customFormat="1" ht="15" customHeight="1">
      <c r="A20" s="63" t="s">
        <v>177</v>
      </c>
      <c r="B20" s="586" t="s">
        <v>127</v>
      </c>
      <c r="C20" s="589"/>
      <c r="D20" s="589"/>
      <c r="E20" s="589"/>
      <c r="F20" s="589"/>
      <c r="G20" s="589"/>
      <c r="H20" s="589"/>
      <c r="I20" s="589"/>
      <c r="J20" s="589"/>
      <c r="K20" s="588"/>
      <c r="L20" s="332">
        <f>ROUND(F23,2)</f>
        <v>6</v>
      </c>
      <c r="M20" s="79" t="s">
        <v>120</v>
      </c>
      <c r="O20" s="318" t="str">
        <f>IFERROR(IF(L20="","",INDEX(ORÇAMENTO!C:C,MATCH(A20,ORÇAMENTO!A:A,0))),"")</f>
        <v>COMP7</v>
      </c>
      <c r="P20" s="93" t="str">
        <f>IFERROR(IF(L20="","",INDEX(ORÇAMENTO!D:D,MATCH(A20,ORÇAMENTO!A:A,0))),"")</f>
        <v>SINAPI</v>
      </c>
    </row>
    <row r="21" spans="1:16" s="61" customFormat="1">
      <c r="A21" s="18"/>
      <c r="B21" s="333"/>
      <c r="C21" s="334" t="s">
        <v>42</v>
      </c>
      <c r="D21" s="334" t="s">
        <v>41</v>
      </c>
      <c r="E21" s="334" t="s">
        <v>43</v>
      </c>
      <c r="F21" s="334" t="s">
        <v>119</v>
      </c>
      <c r="G21" s="334" t="s">
        <v>45</v>
      </c>
      <c r="H21" s="334" t="s">
        <v>46</v>
      </c>
      <c r="I21" s="268"/>
      <c r="J21" s="268"/>
      <c r="K21" s="268"/>
      <c r="L21" s="271"/>
      <c r="M21" s="268"/>
      <c r="O21" s="318" t="str">
        <f>IFERROR(IF(L21="","",INDEX(ORÇAMENTO!C:C,MATCH(A21,ORÇAMENTO!A:A,0))),"")</f>
        <v/>
      </c>
      <c r="P21" s="93" t="str">
        <f>IFERROR(IF(L21="","",INDEX(ORÇAMENTO!D:D,MATCH(A21,ORÇAMENTO!A:A,0))),"")</f>
        <v/>
      </c>
    </row>
    <row r="22" spans="1:16" s="61" customFormat="1" ht="30" customHeight="1">
      <c r="A22" s="18"/>
      <c r="B22" s="335" t="s">
        <v>123</v>
      </c>
      <c r="C22" s="336"/>
      <c r="D22" s="337"/>
      <c r="E22" s="336"/>
      <c r="F22" s="265">
        <v>6</v>
      </c>
      <c r="G22" s="267"/>
      <c r="H22" s="267"/>
      <c r="I22" s="268"/>
      <c r="J22" s="268"/>
      <c r="K22" s="268"/>
      <c r="L22" s="271"/>
      <c r="M22" s="271"/>
      <c r="O22" s="318" t="str">
        <f>IFERROR(IF(L22="","",INDEX(ORÇAMENTO!C:C,MATCH(A22,ORÇAMENTO!A:A,0))),"")</f>
        <v/>
      </c>
      <c r="P22" s="93" t="str">
        <f>IFERROR(IF(L22="","",INDEX(ORÇAMENTO!D:D,MATCH(A22,ORÇAMENTO!A:A,0))),"")</f>
        <v/>
      </c>
    </row>
    <row r="23" spans="1:16" s="61" customFormat="1">
      <c r="A23" s="18"/>
      <c r="B23" s="338"/>
      <c r="C23" s="267"/>
      <c r="D23" s="267"/>
      <c r="E23" s="269" t="s">
        <v>47</v>
      </c>
      <c r="F23" s="270">
        <f>SUM(F22)</f>
        <v>6</v>
      </c>
      <c r="G23" s="270"/>
      <c r="H23" s="268"/>
      <c r="I23" s="268"/>
      <c r="J23" s="268"/>
      <c r="K23" s="268"/>
      <c r="L23" s="271"/>
      <c r="M23" s="271"/>
      <c r="O23" s="318" t="str">
        <f>IFERROR(IF(L23="","",INDEX(ORÇAMENTO!C:C,MATCH(A23,ORÇAMENTO!A:A,0))),"")</f>
        <v/>
      </c>
      <c r="P23" s="93" t="str">
        <f>IFERROR(IF(L23="","",INDEX(ORÇAMENTO!D:D,MATCH(A23,ORÇAMENTO!A:A,0))),"")</f>
        <v/>
      </c>
    </row>
    <row r="24" spans="1:16" s="61" customFormat="1" ht="15" customHeight="1">
      <c r="A24" s="63" t="s">
        <v>439</v>
      </c>
      <c r="B24" s="586" t="s">
        <v>128</v>
      </c>
      <c r="C24" s="589"/>
      <c r="D24" s="589"/>
      <c r="E24" s="589"/>
      <c r="F24" s="589"/>
      <c r="G24" s="589"/>
      <c r="H24" s="589"/>
      <c r="I24" s="589"/>
      <c r="J24" s="589"/>
      <c r="K24" s="588"/>
      <c r="L24" s="332">
        <f>ROUND(F27,2)</f>
        <v>6</v>
      </c>
      <c r="M24" s="79" t="s">
        <v>120</v>
      </c>
      <c r="O24" s="318">
        <f>IFERROR(IF(L24="","",INDEX(ORÇAMENTO!C:C,MATCH(A24,ORÇAMENTO!A:A,0))),"")</f>
        <v>10779</v>
      </c>
      <c r="P24" s="93" t="str">
        <f>IFERROR(IF(L24="","",INDEX(ORÇAMENTO!D:D,MATCH(A24,ORÇAMENTO!A:A,0))),"")</f>
        <v>SINAPI</v>
      </c>
    </row>
    <row r="25" spans="1:16" s="61" customFormat="1">
      <c r="A25" s="18"/>
      <c r="B25" s="333"/>
      <c r="C25" s="334" t="s">
        <v>42</v>
      </c>
      <c r="D25" s="334" t="s">
        <v>41</v>
      </c>
      <c r="E25" s="334" t="s">
        <v>43</v>
      </c>
      <c r="F25" s="334" t="s">
        <v>119</v>
      </c>
      <c r="G25" s="334" t="s">
        <v>45</v>
      </c>
      <c r="H25" s="334" t="s">
        <v>46</v>
      </c>
      <c r="I25" s="268"/>
      <c r="J25" s="268"/>
      <c r="K25" s="268"/>
      <c r="L25" s="271"/>
      <c r="M25" s="268"/>
      <c r="O25" s="318" t="str">
        <f>IFERROR(IF(L25="","",INDEX(ORÇAMENTO!C:C,MATCH(A25,ORÇAMENTO!A:A,0))),"")</f>
        <v/>
      </c>
      <c r="P25" s="93" t="str">
        <f>IFERROR(IF(L25="","",INDEX(ORÇAMENTO!D:D,MATCH(A25,ORÇAMENTO!A:A,0))),"")</f>
        <v/>
      </c>
    </row>
    <row r="26" spans="1:16" s="61" customFormat="1" ht="30" customHeight="1">
      <c r="A26" s="18"/>
      <c r="B26" s="335" t="s">
        <v>124</v>
      </c>
      <c r="C26" s="336"/>
      <c r="D26" s="337"/>
      <c r="E26" s="336"/>
      <c r="F26" s="265">
        <v>6</v>
      </c>
      <c r="G26" s="265"/>
      <c r="H26" s="267"/>
      <c r="I26" s="268"/>
      <c r="J26" s="268"/>
      <c r="K26" s="268"/>
      <c r="L26" s="271"/>
      <c r="M26" s="271"/>
      <c r="O26" s="318" t="str">
        <f>IFERROR(IF(L26="","",INDEX(ORÇAMENTO!C:C,MATCH(A26,ORÇAMENTO!A:A,0))),"")</f>
        <v/>
      </c>
      <c r="P26" s="93" t="str">
        <f>IFERROR(IF(L26="","",INDEX(ORÇAMENTO!D:D,MATCH(A26,ORÇAMENTO!A:A,0))),"")</f>
        <v/>
      </c>
    </row>
    <row r="27" spans="1:16" s="61" customFormat="1">
      <c r="A27" s="18"/>
      <c r="B27" s="338"/>
      <c r="C27" s="267"/>
      <c r="D27" s="267"/>
      <c r="E27" s="269" t="s">
        <v>47</v>
      </c>
      <c r="F27" s="270">
        <f>SUM(F26)</f>
        <v>6</v>
      </c>
      <c r="G27" s="270"/>
      <c r="H27" s="268"/>
      <c r="I27" s="268"/>
      <c r="J27" s="268"/>
      <c r="K27" s="268"/>
      <c r="L27" s="271"/>
      <c r="M27" s="271"/>
      <c r="O27" s="318" t="str">
        <f>IFERROR(IF(L27="","",INDEX(ORÇAMENTO!C:C,MATCH(A27,ORÇAMENTO!A:A,0))),"")</f>
        <v/>
      </c>
      <c r="P27" s="93" t="str">
        <f>IFERROR(IF(L27="","",INDEX(ORÇAMENTO!D:D,MATCH(A27,ORÇAMENTO!A:A,0))),"")</f>
        <v/>
      </c>
    </row>
    <row r="28" spans="1:16" s="78" customFormat="1" ht="15" customHeight="1">
      <c r="A28" s="79" t="s">
        <v>440</v>
      </c>
      <c r="B28" s="586" t="s">
        <v>145</v>
      </c>
      <c r="C28" s="589"/>
      <c r="D28" s="589"/>
      <c r="E28" s="589"/>
      <c r="F28" s="589"/>
      <c r="G28" s="589"/>
      <c r="H28" s="589"/>
      <c r="I28" s="589"/>
      <c r="J28" s="589"/>
      <c r="K28" s="588"/>
      <c r="L28" s="332">
        <f>ROUND(F31,2)</f>
        <v>1</v>
      </c>
      <c r="M28" s="79" t="s">
        <v>59</v>
      </c>
      <c r="O28" s="318">
        <f>IFERROR(IF(L28="","",INDEX(ORÇAMENTO!C:C,MATCH(A28,ORÇAMENTO!A:A,0))),"")</f>
        <v>83635</v>
      </c>
      <c r="P28" s="93" t="str">
        <f>IFERROR(IF(L28="","",INDEX(ORÇAMENTO!D:D,MATCH(A28,ORÇAMENTO!A:A,0))),"")</f>
        <v>SINAPI</v>
      </c>
    </row>
    <row r="29" spans="1:16" s="78" customFormat="1">
      <c r="A29" s="18"/>
      <c r="B29" s="333"/>
      <c r="C29" s="334" t="s">
        <v>42</v>
      </c>
      <c r="D29" s="334" t="s">
        <v>41</v>
      </c>
      <c r="E29" s="334" t="s">
        <v>43</v>
      </c>
      <c r="F29" s="262" t="s">
        <v>44</v>
      </c>
      <c r="G29" s="334" t="s">
        <v>45</v>
      </c>
      <c r="H29" s="334" t="s">
        <v>46</v>
      </c>
      <c r="I29" s="268"/>
      <c r="J29" s="268"/>
      <c r="K29" s="268"/>
      <c r="L29" s="271"/>
      <c r="M29" s="268"/>
      <c r="O29" s="318" t="str">
        <f>IFERROR(IF(L29="","",INDEX(ORÇAMENTO!C:C,MATCH(A29,ORÇAMENTO!A:A,0))),"")</f>
        <v/>
      </c>
      <c r="P29" s="93" t="str">
        <f>IFERROR(IF(L29="","",INDEX(ORÇAMENTO!D:D,MATCH(A29,ORÇAMENTO!A:A,0))),"")</f>
        <v/>
      </c>
    </row>
    <row r="30" spans="1:16" s="78" customFormat="1" ht="30" customHeight="1">
      <c r="A30" s="18"/>
      <c r="B30" s="335" t="s">
        <v>147</v>
      </c>
      <c r="C30" s="336"/>
      <c r="D30" s="337"/>
      <c r="E30" s="336"/>
      <c r="F30" s="265">
        <v>1</v>
      </c>
      <c r="G30" s="265"/>
      <c r="H30" s="267"/>
      <c r="I30" s="268"/>
      <c r="J30" s="268"/>
      <c r="K30" s="268"/>
      <c r="L30" s="271"/>
      <c r="M30" s="271"/>
      <c r="O30" s="318" t="str">
        <f>IFERROR(IF(L30="","",INDEX(ORÇAMENTO!C:C,MATCH(A30,ORÇAMENTO!A:A,0))),"")</f>
        <v/>
      </c>
      <c r="P30" s="93" t="str">
        <f>IFERROR(IF(L30="","",INDEX(ORÇAMENTO!D:D,MATCH(A30,ORÇAMENTO!A:A,0))),"")</f>
        <v/>
      </c>
    </row>
    <row r="31" spans="1:16" s="78" customFormat="1">
      <c r="A31" s="18"/>
      <c r="B31" s="257"/>
      <c r="C31" s="16"/>
      <c r="D31" s="16"/>
      <c r="E31" s="21" t="s">
        <v>47</v>
      </c>
      <c r="F31" s="22">
        <f>SUM(F30)</f>
        <v>1</v>
      </c>
      <c r="G31" s="22"/>
      <c r="H31" s="19"/>
      <c r="I31" s="19"/>
      <c r="J31" s="19"/>
      <c r="K31" s="19"/>
      <c r="L31" s="6"/>
      <c r="M31" s="6"/>
      <c r="O31" s="318" t="str">
        <f>IFERROR(IF(L31="","",INDEX(ORÇAMENTO!C:C,MATCH(A31,ORÇAMENTO!A:A,0))),"")</f>
        <v/>
      </c>
      <c r="P31" s="93" t="str">
        <f>IFERROR(IF(L31="","",INDEX(ORÇAMENTO!D:D,MATCH(A31,ORÇAMENTO!A:A,0))),"")</f>
        <v/>
      </c>
    </row>
    <row r="32" spans="1:16" s="71" customFormat="1" ht="16.5">
      <c r="A32" s="278">
        <v>2</v>
      </c>
      <c r="B32" s="576" t="str">
        <f>INDEX(ORÇAMENTO!E:E,MATCH(A32,ORÇAMENTO!A:A,0))</f>
        <v>MOBILIZAÇÃO</v>
      </c>
      <c r="C32" s="577"/>
      <c r="D32" s="577"/>
      <c r="E32" s="577"/>
      <c r="F32" s="577"/>
      <c r="G32" s="577"/>
      <c r="H32" s="577"/>
      <c r="I32" s="577"/>
      <c r="J32" s="577"/>
      <c r="K32" s="577"/>
      <c r="L32" s="577"/>
      <c r="M32" s="578"/>
      <c r="O32" s="318" t="str">
        <f>IFERROR(IF(L32="","",INDEX(ORÇAMENTO!C:C,MATCH(A32,ORÇAMENTO!A:A,0))),"")</f>
        <v/>
      </c>
      <c r="P32" s="93" t="str">
        <f>IFERROR(IF(L32="","",INDEX(ORÇAMENTO!D:D,MATCH(A32,ORÇAMENTO!A:A,0))),"")</f>
        <v/>
      </c>
    </row>
    <row r="33" spans="1:16" s="71" customFormat="1" ht="15" customHeight="1">
      <c r="A33" s="63"/>
      <c r="B33" s="586" t="s">
        <v>137</v>
      </c>
      <c r="C33" s="587"/>
      <c r="D33" s="587"/>
      <c r="E33" s="587"/>
      <c r="F33" s="587"/>
      <c r="G33" s="587"/>
      <c r="H33" s="587"/>
      <c r="I33" s="587"/>
      <c r="J33" s="587"/>
      <c r="K33" s="588"/>
      <c r="L33" s="68">
        <f>ROUND(K46,2)+ROUND(K50,2)</f>
        <v>89977.34</v>
      </c>
      <c r="M33" s="63" t="s">
        <v>132</v>
      </c>
      <c r="O33" s="318" t="str">
        <f>IFERROR(IF(L33="","",INDEX(ORÇAMENTO!C:C,MATCH(A33,ORÇAMENTO!A:A,0))),"")</f>
        <v/>
      </c>
      <c r="P33" s="93" t="str">
        <f>IFERROR(IF(L33="","",INDEX(ORÇAMENTO!D:D,MATCH(A33,ORÇAMENTO!A:A,0))),"")</f>
        <v/>
      </c>
    </row>
    <row r="34" spans="1:16" s="153" customFormat="1" ht="24">
      <c r="A34" s="18"/>
      <c r="B34" s="258" t="s">
        <v>227</v>
      </c>
      <c r="C34" s="156" t="s">
        <v>228</v>
      </c>
      <c r="D34" s="156" t="s">
        <v>229</v>
      </c>
      <c r="E34" s="156" t="s">
        <v>173</v>
      </c>
      <c r="F34" s="156" t="s">
        <v>230</v>
      </c>
      <c r="G34" s="156" t="s">
        <v>231</v>
      </c>
      <c r="H34" s="156" t="s">
        <v>232</v>
      </c>
      <c r="I34" s="67" t="s">
        <v>233</v>
      </c>
      <c r="J34" s="156" t="s">
        <v>134</v>
      </c>
      <c r="K34" s="156" t="s">
        <v>234</v>
      </c>
      <c r="L34" s="6"/>
      <c r="M34" s="19"/>
      <c r="O34" s="318" t="str">
        <f>IFERROR(IF(L34="","",INDEX(ORÇAMENTO!C:C,MATCH(A34,ORÇAMENTO!A:A,0))),"")</f>
        <v/>
      </c>
      <c r="P34" s="173" t="s">
        <v>325</v>
      </c>
    </row>
    <row r="35" spans="1:16" s="153" customFormat="1" ht="15" customHeight="1">
      <c r="A35" s="18"/>
      <c r="B35" s="259" t="s">
        <v>133</v>
      </c>
      <c r="C35" s="174" t="s">
        <v>235</v>
      </c>
      <c r="D35" s="175" t="s">
        <v>131</v>
      </c>
      <c r="E35" s="176">
        <v>4</v>
      </c>
      <c r="F35" s="175">
        <v>1</v>
      </c>
      <c r="G35" s="177">
        <v>2</v>
      </c>
      <c r="H35" s="20">
        <f>413+136.4</f>
        <v>549.4</v>
      </c>
      <c r="I35" s="178">
        <v>378.16180000000003</v>
      </c>
      <c r="J35" s="179">
        <f>BDI!$E$26</f>
        <v>0.24929999999999999</v>
      </c>
      <c r="K35" s="235">
        <f t="shared" ref="K35:K45" si="0">ROUND((E35*(((F35*G35*H35)/60)*I35))*(1+J35),2)</f>
        <v>34607.620000000003</v>
      </c>
      <c r="L35" s="6"/>
      <c r="M35" s="6"/>
      <c r="O35" s="318" t="str">
        <f>IFERROR(IF(L35="","",INDEX(ORÇAMENTO!C:C,MATCH(A35,ORÇAMENTO!A:A,0))),"")</f>
        <v/>
      </c>
    </row>
    <row r="36" spans="1:16" s="153" customFormat="1" ht="25.5">
      <c r="A36" s="18"/>
      <c r="B36" s="259" t="s">
        <v>327</v>
      </c>
      <c r="C36" s="175" t="s">
        <v>236</v>
      </c>
      <c r="D36" s="175" t="s">
        <v>142</v>
      </c>
      <c r="E36" s="176">
        <v>1</v>
      </c>
      <c r="F36" s="175">
        <v>1</v>
      </c>
      <c r="G36" s="177">
        <v>1</v>
      </c>
      <c r="H36" s="20">
        <f t="shared" ref="H36:H45" si="1">413+136.4</f>
        <v>549.4</v>
      </c>
      <c r="I36" s="178">
        <v>188.41669999999999</v>
      </c>
      <c r="J36" s="179">
        <f>BDI!$E$26</f>
        <v>0.24929999999999999</v>
      </c>
      <c r="K36" s="235">
        <f t="shared" si="0"/>
        <v>2155.38</v>
      </c>
      <c r="L36" s="6"/>
      <c r="M36" s="6"/>
      <c r="O36" s="318"/>
      <c r="P36" s="173" t="s">
        <v>326</v>
      </c>
    </row>
    <row r="37" spans="1:16" s="153" customFormat="1" ht="25.5">
      <c r="A37" s="18"/>
      <c r="B37" s="259" t="s">
        <v>328</v>
      </c>
      <c r="C37" s="174" t="s">
        <v>235</v>
      </c>
      <c r="D37" s="175" t="s">
        <v>131</v>
      </c>
      <c r="E37" s="176">
        <v>1</v>
      </c>
      <c r="F37" s="175">
        <v>0.5</v>
      </c>
      <c r="G37" s="177">
        <v>2</v>
      </c>
      <c r="H37" s="20">
        <f t="shared" si="1"/>
        <v>549.4</v>
      </c>
      <c r="I37" s="178">
        <v>378.16180000000003</v>
      </c>
      <c r="J37" s="179">
        <f>BDI!$E$26</f>
        <v>0.24929999999999999</v>
      </c>
      <c r="K37" s="235">
        <f t="shared" si="0"/>
        <v>4325.95</v>
      </c>
      <c r="L37" s="6"/>
      <c r="M37" s="6"/>
      <c r="O37" s="318"/>
      <c r="P37" s="173" t="s">
        <v>326</v>
      </c>
    </row>
    <row r="38" spans="1:16" s="153" customFormat="1" ht="25.5">
      <c r="A38" s="18"/>
      <c r="B38" s="259" t="s">
        <v>329</v>
      </c>
      <c r="C38" s="174" t="s">
        <v>235</v>
      </c>
      <c r="D38" s="175" t="s">
        <v>131</v>
      </c>
      <c r="E38" s="175">
        <v>1</v>
      </c>
      <c r="F38" s="175">
        <v>0.5</v>
      </c>
      <c r="G38" s="177">
        <v>2</v>
      </c>
      <c r="H38" s="20">
        <f t="shared" si="1"/>
        <v>549.4</v>
      </c>
      <c r="I38" s="178">
        <v>378.16180000000003</v>
      </c>
      <c r="J38" s="179">
        <f>BDI!$E$26</f>
        <v>0.24929999999999999</v>
      </c>
      <c r="K38" s="235">
        <f t="shared" si="0"/>
        <v>4325.95</v>
      </c>
      <c r="L38" s="6"/>
      <c r="M38" s="6"/>
      <c r="O38" s="318"/>
      <c r="P38" s="173" t="s">
        <v>337</v>
      </c>
    </row>
    <row r="39" spans="1:16" s="153" customFormat="1" ht="25.5">
      <c r="A39" s="18"/>
      <c r="B39" s="259" t="s">
        <v>330</v>
      </c>
      <c r="C39" s="175" t="s">
        <v>236</v>
      </c>
      <c r="D39" s="175" t="s">
        <v>143</v>
      </c>
      <c r="E39" s="175">
        <v>3</v>
      </c>
      <c r="F39" s="175">
        <v>1</v>
      </c>
      <c r="G39" s="177">
        <v>1</v>
      </c>
      <c r="H39" s="20">
        <f t="shared" si="1"/>
        <v>549.4</v>
      </c>
      <c r="I39" s="178">
        <v>290.2722</v>
      </c>
      <c r="J39" s="179">
        <f>BDI!$E$26</f>
        <v>0.24929999999999999</v>
      </c>
      <c r="K39" s="235">
        <f t="shared" si="0"/>
        <v>9961.64</v>
      </c>
      <c r="L39" s="6"/>
      <c r="M39" s="6"/>
      <c r="O39" s="318"/>
      <c r="P39" s="173" t="s">
        <v>338</v>
      </c>
    </row>
    <row r="40" spans="1:16" s="158" customFormat="1" ht="38.25">
      <c r="A40" s="18"/>
      <c r="B40" s="259" t="s">
        <v>331</v>
      </c>
      <c r="C40" s="174" t="s">
        <v>235</v>
      </c>
      <c r="D40" s="175" t="s">
        <v>131</v>
      </c>
      <c r="E40" s="176">
        <v>1</v>
      </c>
      <c r="F40" s="175">
        <v>1</v>
      </c>
      <c r="G40" s="177">
        <v>2</v>
      </c>
      <c r="H40" s="20">
        <f t="shared" si="1"/>
        <v>549.4</v>
      </c>
      <c r="I40" s="178">
        <v>378.16180000000003</v>
      </c>
      <c r="J40" s="179">
        <f>BDI!$E$26</f>
        <v>0.24929999999999999</v>
      </c>
      <c r="K40" s="235">
        <f t="shared" si="0"/>
        <v>8651.91</v>
      </c>
      <c r="L40" s="6"/>
      <c r="M40" s="6"/>
      <c r="O40" s="318"/>
      <c r="P40" s="173" t="s">
        <v>338</v>
      </c>
    </row>
    <row r="41" spans="1:16" s="158" customFormat="1" ht="25.5">
      <c r="A41" s="18"/>
      <c r="B41" s="259" t="s">
        <v>332</v>
      </c>
      <c r="C41" s="175" t="s">
        <v>236</v>
      </c>
      <c r="D41" s="175" t="s">
        <v>117</v>
      </c>
      <c r="E41" s="176">
        <v>1</v>
      </c>
      <c r="F41" s="175">
        <v>1</v>
      </c>
      <c r="G41" s="177">
        <v>1</v>
      </c>
      <c r="H41" s="20">
        <f t="shared" si="1"/>
        <v>549.4</v>
      </c>
      <c r="I41" s="178">
        <v>322.60199999999998</v>
      </c>
      <c r="J41" s="179">
        <f>BDI!$E$26</f>
        <v>0.24929999999999999</v>
      </c>
      <c r="K41" s="235">
        <f t="shared" si="0"/>
        <v>3690.38</v>
      </c>
      <c r="L41" s="6"/>
      <c r="M41" s="6"/>
      <c r="O41" s="318"/>
      <c r="P41" s="173" t="s">
        <v>339</v>
      </c>
    </row>
    <row r="42" spans="1:16" s="158" customFormat="1" ht="25.5">
      <c r="A42" s="18"/>
      <c r="B42" s="259" t="s">
        <v>333</v>
      </c>
      <c r="C42" s="174" t="s">
        <v>235</v>
      </c>
      <c r="D42" s="175" t="s">
        <v>131</v>
      </c>
      <c r="E42" s="175">
        <v>1</v>
      </c>
      <c r="F42" s="175">
        <v>0.5</v>
      </c>
      <c r="G42" s="177">
        <v>2</v>
      </c>
      <c r="H42" s="20">
        <f t="shared" si="1"/>
        <v>549.4</v>
      </c>
      <c r="I42" s="178">
        <v>378.16180000000003</v>
      </c>
      <c r="J42" s="179">
        <f>BDI!$E$26</f>
        <v>0.24929999999999999</v>
      </c>
      <c r="K42" s="235">
        <f t="shared" si="0"/>
        <v>4325.95</v>
      </c>
      <c r="L42" s="6"/>
      <c r="M42" s="6"/>
      <c r="O42" s="318"/>
      <c r="P42" s="173" t="s">
        <v>339</v>
      </c>
    </row>
    <row r="43" spans="1:16" s="158" customFormat="1">
      <c r="A43" s="18"/>
      <c r="B43" s="259" t="s">
        <v>334</v>
      </c>
      <c r="C43" s="174" t="s">
        <v>235</v>
      </c>
      <c r="D43" s="175" t="s">
        <v>131</v>
      </c>
      <c r="E43" s="176">
        <v>1</v>
      </c>
      <c r="F43" s="175">
        <v>1</v>
      </c>
      <c r="G43" s="177">
        <v>2</v>
      </c>
      <c r="H43" s="20">
        <f t="shared" si="1"/>
        <v>549.4</v>
      </c>
      <c r="I43" s="178">
        <v>378.16180000000003</v>
      </c>
      <c r="J43" s="179">
        <f>BDI!$E$26</f>
        <v>0.24929999999999999</v>
      </c>
      <c r="K43" s="235">
        <f t="shared" si="0"/>
        <v>8651.91</v>
      </c>
      <c r="L43" s="6"/>
      <c r="M43" s="6"/>
      <c r="O43" s="318"/>
      <c r="P43" s="173" t="s">
        <v>339</v>
      </c>
    </row>
    <row r="44" spans="1:16" s="158" customFormat="1" ht="38.25">
      <c r="A44" s="18"/>
      <c r="B44" s="259" t="s">
        <v>335</v>
      </c>
      <c r="C44" s="174" t="s">
        <v>235</v>
      </c>
      <c r="D44" s="175" t="s">
        <v>131</v>
      </c>
      <c r="E44" s="176">
        <v>1</v>
      </c>
      <c r="F44" s="175">
        <v>0.5</v>
      </c>
      <c r="G44" s="177">
        <v>2</v>
      </c>
      <c r="H44" s="20">
        <f t="shared" si="1"/>
        <v>549.4</v>
      </c>
      <c r="I44" s="178">
        <v>378.16180000000003</v>
      </c>
      <c r="J44" s="179">
        <f>BDI!$E$26</f>
        <v>0.24929999999999999</v>
      </c>
      <c r="K44" s="235">
        <f t="shared" si="0"/>
        <v>4325.95</v>
      </c>
      <c r="L44" s="6"/>
      <c r="M44" s="6"/>
      <c r="O44" s="318"/>
      <c r="P44" s="173" t="s">
        <v>339</v>
      </c>
    </row>
    <row r="45" spans="1:16" s="158" customFormat="1">
      <c r="A45" s="18"/>
      <c r="B45" s="259" t="s">
        <v>336</v>
      </c>
      <c r="C45" s="174" t="s">
        <v>235</v>
      </c>
      <c r="D45" s="175" t="s">
        <v>131</v>
      </c>
      <c r="E45" s="175">
        <v>1</v>
      </c>
      <c r="F45" s="175">
        <v>0.5</v>
      </c>
      <c r="G45" s="177">
        <v>2</v>
      </c>
      <c r="H45" s="20">
        <f t="shared" si="1"/>
        <v>549.4</v>
      </c>
      <c r="I45" s="178">
        <v>378.16180000000003</v>
      </c>
      <c r="J45" s="179">
        <f>BDI!$E$26</f>
        <v>0.24929999999999999</v>
      </c>
      <c r="K45" s="235">
        <f t="shared" si="0"/>
        <v>4325.95</v>
      </c>
      <c r="L45" s="6"/>
      <c r="M45" s="6"/>
      <c r="O45" s="318"/>
      <c r="P45" s="173" t="s">
        <v>339</v>
      </c>
    </row>
    <row r="46" spans="1:16" s="153" customFormat="1">
      <c r="A46" s="18"/>
      <c r="B46" s="257"/>
      <c r="C46" s="16"/>
      <c r="D46" s="16"/>
      <c r="E46" s="16"/>
      <c r="F46" s="16"/>
      <c r="G46" s="16"/>
      <c r="H46" s="16"/>
      <c r="I46" s="21" t="s">
        <v>47</v>
      </c>
      <c r="J46" s="16"/>
      <c r="K46" s="181">
        <f>SUM(K35:K45)</f>
        <v>89348.59</v>
      </c>
      <c r="L46" s="6"/>
      <c r="M46" s="6"/>
      <c r="O46" s="317"/>
    </row>
    <row r="47" spans="1:16" s="153" customFormat="1" ht="33.75">
      <c r="A47" s="18"/>
      <c r="B47" s="258" t="s">
        <v>237</v>
      </c>
      <c r="C47" s="156" t="s">
        <v>3</v>
      </c>
      <c r="D47" s="156"/>
      <c r="E47" s="156" t="s">
        <v>173</v>
      </c>
      <c r="F47" s="156"/>
      <c r="G47" s="156"/>
      <c r="H47" s="156"/>
      <c r="I47" s="67" t="s">
        <v>238</v>
      </c>
      <c r="J47" s="156"/>
      <c r="K47" s="156" t="s">
        <v>234</v>
      </c>
      <c r="L47" s="6"/>
      <c r="M47" s="19"/>
      <c r="O47" s="317"/>
    </row>
    <row r="48" spans="1:16" s="153" customFormat="1" ht="15" customHeight="1">
      <c r="A48" s="18"/>
      <c r="B48" s="259" t="s">
        <v>239</v>
      </c>
      <c r="C48" s="174" t="s">
        <v>240</v>
      </c>
      <c r="D48" s="175"/>
      <c r="E48" s="176">
        <f>SUM(E35:E45)</f>
        <v>16</v>
      </c>
      <c r="F48" s="175"/>
      <c r="G48" s="177"/>
      <c r="H48" s="20"/>
      <c r="I48" s="178">
        <v>18.64</v>
      </c>
      <c r="J48" s="179">
        <f>BDI!$E$26</f>
        <v>0.24929999999999999</v>
      </c>
      <c r="K48" s="180">
        <f>E48*(I48*(1+J48))</f>
        <v>372.59123200000005</v>
      </c>
      <c r="L48" s="6"/>
      <c r="M48" s="6"/>
      <c r="O48" s="317"/>
    </row>
    <row r="49" spans="1:16" s="153" customFormat="1">
      <c r="A49" s="18"/>
      <c r="B49" s="259" t="s">
        <v>241</v>
      </c>
      <c r="C49" s="174" t="s">
        <v>240</v>
      </c>
      <c r="D49" s="175"/>
      <c r="E49" s="176">
        <f>E48-(E36+E39+E41)</f>
        <v>11</v>
      </c>
      <c r="F49" s="175"/>
      <c r="G49" s="177"/>
      <c r="H49" s="20"/>
      <c r="I49" s="178">
        <v>18.64</v>
      </c>
      <c r="J49" s="179">
        <f>BDI!$E$26</f>
        <v>0.24929999999999999</v>
      </c>
      <c r="K49" s="180">
        <f>E49*(I49*(1+J49))</f>
        <v>256.15647200000001</v>
      </c>
      <c r="L49" s="6"/>
      <c r="M49" s="6"/>
      <c r="O49" s="317"/>
    </row>
    <row r="50" spans="1:16" s="153" customFormat="1">
      <c r="A50" s="18"/>
      <c r="B50" s="257" t="s">
        <v>242</v>
      </c>
      <c r="C50" s="16"/>
      <c r="D50" s="16"/>
      <c r="E50" s="16"/>
      <c r="F50" s="16"/>
      <c r="G50" s="16"/>
      <c r="H50" s="16"/>
      <c r="I50" s="21" t="s">
        <v>47</v>
      </c>
      <c r="J50" s="16"/>
      <c r="K50" s="181">
        <f>SUM(K48:K49)</f>
        <v>628.74770400000011</v>
      </c>
      <c r="L50" s="6"/>
      <c r="M50" s="6"/>
      <c r="O50" s="317"/>
    </row>
    <row r="51" spans="1:16" s="71" customFormat="1" ht="16.5">
      <c r="A51" s="278">
        <v>3</v>
      </c>
      <c r="B51" s="576" t="str">
        <f>INDEX(ORÇAMENTO!E:E,MATCH(A51,ORÇAMENTO!A:A,0))</f>
        <v>DESMOBILIZAÇÃO</v>
      </c>
      <c r="C51" s="577"/>
      <c r="D51" s="577"/>
      <c r="E51" s="577"/>
      <c r="F51" s="577"/>
      <c r="G51" s="577"/>
      <c r="H51" s="577"/>
      <c r="I51" s="577"/>
      <c r="J51" s="577"/>
      <c r="K51" s="577"/>
      <c r="L51" s="577"/>
      <c r="M51" s="578"/>
      <c r="O51" s="317"/>
    </row>
    <row r="52" spans="1:16" s="71" customFormat="1" ht="15" customHeight="1">
      <c r="A52" s="63"/>
      <c r="B52" s="586" t="s">
        <v>138</v>
      </c>
      <c r="C52" s="589"/>
      <c r="D52" s="589"/>
      <c r="E52" s="589"/>
      <c r="F52" s="589"/>
      <c r="G52" s="589"/>
      <c r="H52" s="589"/>
      <c r="I52" s="589"/>
      <c r="J52" s="589"/>
      <c r="K52" s="588"/>
      <c r="L52" s="68">
        <f>ROUND(K65,2)+ROUND(K69,2)</f>
        <v>89977.34</v>
      </c>
      <c r="M52" s="63" t="s">
        <v>132</v>
      </c>
      <c r="O52" s="317"/>
    </row>
    <row r="53" spans="1:16" s="153" customFormat="1" ht="24">
      <c r="A53" s="18"/>
      <c r="B53" s="258" t="s">
        <v>227</v>
      </c>
      <c r="C53" s="156" t="s">
        <v>228</v>
      </c>
      <c r="D53" s="156" t="s">
        <v>229</v>
      </c>
      <c r="E53" s="156" t="s">
        <v>173</v>
      </c>
      <c r="F53" s="156" t="s">
        <v>230</v>
      </c>
      <c r="G53" s="156" t="s">
        <v>231</v>
      </c>
      <c r="H53" s="156" t="s">
        <v>232</v>
      </c>
      <c r="I53" s="529" t="s">
        <v>233</v>
      </c>
      <c r="J53" s="156" t="s">
        <v>134</v>
      </c>
      <c r="K53" s="156" t="s">
        <v>234</v>
      </c>
      <c r="L53" s="6"/>
      <c r="M53" s="19"/>
      <c r="O53" s="317"/>
    </row>
    <row r="54" spans="1:16" s="158" customFormat="1" ht="15" customHeight="1">
      <c r="A54" s="18"/>
      <c r="B54" s="259" t="s">
        <v>133</v>
      </c>
      <c r="C54" s="174" t="s">
        <v>235</v>
      </c>
      <c r="D54" s="175" t="s">
        <v>131</v>
      </c>
      <c r="E54" s="176">
        <v>4</v>
      </c>
      <c r="F54" s="175">
        <v>1</v>
      </c>
      <c r="G54" s="177">
        <v>2</v>
      </c>
      <c r="H54" s="20">
        <f>413+136.4</f>
        <v>549.4</v>
      </c>
      <c r="I54" s="530">
        <v>378.16180000000003</v>
      </c>
      <c r="J54" s="179">
        <f>BDI!$E$26</f>
        <v>0.24929999999999999</v>
      </c>
      <c r="K54" s="235">
        <f t="shared" ref="K54:K64" si="2">ROUND((E54*(((F54*G54*H54)/60)*I54))*(1+J54),2)</f>
        <v>34607.620000000003</v>
      </c>
      <c r="L54" s="6"/>
      <c r="M54" s="6"/>
      <c r="O54" s="318" t="str">
        <f>IFERROR(IF(L54="","",INDEX(ORÇAMENTO!C:C,MATCH(A54,ORÇAMENTO!A:A,0))),"")</f>
        <v/>
      </c>
    </row>
    <row r="55" spans="1:16" s="158" customFormat="1" ht="25.5">
      <c r="A55" s="18"/>
      <c r="B55" s="259" t="s">
        <v>327</v>
      </c>
      <c r="C55" s="175" t="s">
        <v>236</v>
      </c>
      <c r="D55" s="175" t="s">
        <v>142</v>
      </c>
      <c r="E55" s="176">
        <v>1</v>
      </c>
      <c r="F55" s="175">
        <v>1</v>
      </c>
      <c r="G55" s="177">
        <v>1</v>
      </c>
      <c r="H55" s="20">
        <f t="shared" ref="H55:H64" si="3">413+136.4</f>
        <v>549.4</v>
      </c>
      <c r="I55" s="530">
        <v>188.41669999999999</v>
      </c>
      <c r="J55" s="179">
        <f>BDI!$E$26</f>
        <v>0.24929999999999999</v>
      </c>
      <c r="K55" s="235">
        <f t="shared" si="2"/>
        <v>2155.38</v>
      </c>
      <c r="L55" s="6"/>
      <c r="M55" s="6"/>
      <c r="O55" s="318"/>
      <c r="P55" s="173" t="s">
        <v>326</v>
      </c>
    </row>
    <row r="56" spans="1:16" s="158" customFormat="1" ht="25.5">
      <c r="A56" s="18"/>
      <c r="B56" s="259" t="s">
        <v>328</v>
      </c>
      <c r="C56" s="174" t="s">
        <v>235</v>
      </c>
      <c r="D56" s="175" t="s">
        <v>131</v>
      </c>
      <c r="E56" s="176">
        <v>1</v>
      </c>
      <c r="F56" s="175">
        <v>0.5</v>
      </c>
      <c r="G56" s="177">
        <v>2</v>
      </c>
      <c r="H56" s="20">
        <f t="shared" si="3"/>
        <v>549.4</v>
      </c>
      <c r="I56" s="530">
        <v>378.16180000000003</v>
      </c>
      <c r="J56" s="179">
        <f>BDI!$E$26</f>
        <v>0.24929999999999999</v>
      </c>
      <c r="K56" s="235">
        <f t="shared" si="2"/>
        <v>4325.95</v>
      </c>
      <c r="L56" s="6"/>
      <c r="M56" s="6"/>
      <c r="O56" s="318"/>
      <c r="P56" s="173" t="s">
        <v>326</v>
      </c>
    </row>
    <row r="57" spans="1:16" s="158" customFormat="1" ht="25.5">
      <c r="A57" s="18"/>
      <c r="B57" s="259" t="s">
        <v>329</v>
      </c>
      <c r="C57" s="174" t="s">
        <v>235</v>
      </c>
      <c r="D57" s="175" t="s">
        <v>131</v>
      </c>
      <c r="E57" s="175">
        <v>1</v>
      </c>
      <c r="F57" s="175">
        <v>0.5</v>
      </c>
      <c r="G57" s="177">
        <v>2</v>
      </c>
      <c r="H57" s="20">
        <f t="shared" si="3"/>
        <v>549.4</v>
      </c>
      <c r="I57" s="530">
        <v>378.16180000000003</v>
      </c>
      <c r="J57" s="179">
        <f>BDI!$E$26</f>
        <v>0.24929999999999999</v>
      </c>
      <c r="K57" s="235">
        <f t="shared" si="2"/>
        <v>4325.95</v>
      </c>
      <c r="L57" s="6"/>
      <c r="M57" s="6"/>
      <c r="O57" s="318"/>
      <c r="P57" s="173" t="s">
        <v>337</v>
      </c>
    </row>
    <row r="58" spans="1:16" s="158" customFormat="1" ht="25.5">
      <c r="A58" s="18"/>
      <c r="B58" s="259" t="s">
        <v>330</v>
      </c>
      <c r="C58" s="175" t="s">
        <v>236</v>
      </c>
      <c r="D58" s="175" t="s">
        <v>143</v>
      </c>
      <c r="E58" s="175">
        <v>3</v>
      </c>
      <c r="F58" s="175">
        <v>1</v>
      </c>
      <c r="G58" s="177">
        <v>1</v>
      </c>
      <c r="H58" s="20">
        <f t="shared" si="3"/>
        <v>549.4</v>
      </c>
      <c r="I58" s="530">
        <v>290.2722</v>
      </c>
      <c r="J58" s="179">
        <f>BDI!$E$26</f>
        <v>0.24929999999999999</v>
      </c>
      <c r="K58" s="235">
        <f t="shared" si="2"/>
        <v>9961.64</v>
      </c>
      <c r="L58" s="6"/>
      <c r="M58" s="6"/>
      <c r="O58" s="318"/>
      <c r="P58" s="173" t="s">
        <v>338</v>
      </c>
    </row>
    <row r="59" spans="1:16" s="158" customFormat="1" ht="38.25">
      <c r="A59" s="18"/>
      <c r="B59" s="259" t="s">
        <v>331</v>
      </c>
      <c r="C59" s="174" t="s">
        <v>235</v>
      </c>
      <c r="D59" s="175" t="s">
        <v>131</v>
      </c>
      <c r="E59" s="176">
        <v>1</v>
      </c>
      <c r="F59" s="175">
        <v>1</v>
      </c>
      <c r="G59" s="177">
        <v>2</v>
      </c>
      <c r="H59" s="20">
        <f t="shared" si="3"/>
        <v>549.4</v>
      </c>
      <c r="I59" s="530">
        <v>378.16180000000003</v>
      </c>
      <c r="J59" s="179">
        <f>BDI!$E$26</f>
        <v>0.24929999999999999</v>
      </c>
      <c r="K59" s="235">
        <f t="shared" si="2"/>
        <v>8651.91</v>
      </c>
      <c r="L59" s="6"/>
      <c r="M59" s="6"/>
      <c r="O59" s="318"/>
      <c r="P59" s="173" t="s">
        <v>338</v>
      </c>
    </row>
    <row r="60" spans="1:16" s="158" customFormat="1" ht="25.5">
      <c r="A60" s="18"/>
      <c r="B60" s="259" t="s">
        <v>332</v>
      </c>
      <c r="C60" s="175" t="s">
        <v>236</v>
      </c>
      <c r="D60" s="175" t="s">
        <v>117</v>
      </c>
      <c r="E60" s="176">
        <v>1</v>
      </c>
      <c r="F60" s="175">
        <v>1</v>
      </c>
      <c r="G60" s="177">
        <v>1</v>
      </c>
      <c r="H60" s="20">
        <f t="shared" si="3"/>
        <v>549.4</v>
      </c>
      <c r="I60" s="530">
        <v>322.60199999999998</v>
      </c>
      <c r="J60" s="179">
        <f>BDI!$E$26</f>
        <v>0.24929999999999999</v>
      </c>
      <c r="K60" s="235">
        <f t="shared" si="2"/>
        <v>3690.38</v>
      </c>
      <c r="L60" s="6"/>
      <c r="M60" s="6"/>
      <c r="O60" s="318"/>
      <c r="P60" s="173" t="s">
        <v>339</v>
      </c>
    </row>
    <row r="61" spans="1:16" s="158" customFormat="1" ht="25.5">
      <c r="A61" s="18"/>
      <c r="B61" s="259" t="s">
        <v>333</v>
      </c>
      <c r="C61" s="174" t="s">
        <v>235</v>
      </c>
      <c r="D61" s="175" t="s">
        <v>131</v>
      </c>
      <c r="E61" s="175">
        <v>1</v>
      </c>
      <c r="F61" s="175">
        <v>0.5</v>
      </c>
      <c r="G61" s="177">
        <v>2</v>
      </c>
      <c r="H61" s="20">
        <f t="shared" si="3"/>
        <v>549.4</v>
      </c>
      <c r="I61" s="530">
        <v>378.16180000000003</v>
      </c>
      <c r="J61" s="179">
        <f>BDI!$E$26</f>
        <v>0.24929999999999999</v>
      </c>
      <c r="K61" s="235">
        <f t="shared" si="2"/>
        <v>4325.95</v>
      </c>
      <c r="L61" s="6"/>
      <c r="M61" s="6"/>
      <c r="O61" s="318"/>
      <c r="P61" s="173" t="s">
        <v>339</v>
      </c>
    </row>
    <row r="62" spans="1:16" s="158" customFormat="1">
      <c r="A62" s="18"/>
      <c r="B62" s="259" t="s">
        <v>334</v>
      </c>
      <c r="C62" s="174" t="s">
        <v>235</v>
      </c>
      <c r="D62" s="175" t="s">
        <v>131</v>
      </c>
      <c r="E62" s="176">
        <v>1</v>
      </c>
      <c r="F62" s="175">
        <v>1</v>
      </c>
      <c r="G62" s="177">
        <v>2</v>
      </c>
      <c r="H62" s="20">
        <f t="shared" si="3"/>
        <v>549.4</v>
      </c>
      <c r="I62" s="530">
        <v>378.16180000000003</v>
      </c>
      <c r="J62" s="179">
        <f>BDI!$E$26</f>
        <v>0.24929999999999999</v>
      </c>
      <c r="K62" s="235">
        <f t="shared" si="2"/>
        <v>8651.91</v>
      </c>
      <c r="L62" s="6"/>
      <c r="M62" s="6"/>
      <c r="O62" s="318"/>
      <c r="P62" s="173" t="s">
        <v>339</v>
      </c>
    </row>
    <row r="63" spans="1:16" s="158" customFormat="1" ht="38.25">
      <c r="A63" s="18"/>
      <c r="B63" s="259" t="s">
        <v>335</v>
      </c>
      <c r="C63" s="174" t="s">
        <v>235</v>
      </c>
      <c r="D63" s="175" t="s">
        <v>131</v>
      </c>
      <c r="E63" s="176">
        <v>1</v>
      </c>
      <c r="F63" s="175">
        <v>0.5</v>
      </c>
      <c r="G63" s="177">
        <v>2</v>
      </c>
      <c r="H63" s="20">
        <f t="shared" si="3"/>
        <v>549.4</v>
      </c>
      <c r="I63" s="530">
        <v>378.16180000000003</v>
      </c>
      <c r="J63" s="179">
        <f>BDI!$E$26</f>
        <v>0.24929999999999999</v>
      </c>
      <c r="K63" s="235">
        <f t="shared" si="2"/>
        <v>4325.95</v>
      </c>
      <c r="L63" s="6"/>
      <c r="M63" s="6"/>
      <c r="O63" s="318"/>
      <c r="P63" s="173" t="s">
        <v>339</v>
      </c>
    </row>
    <row r="64" spans="1:16" s="158" customFormat="1">
      <c r="A64" s="18"/>
      <c r="B64" s="259" t="s">
        <v>336</v>
      </c>
      <c r="C64" s="174" t="s">
        <v>235</v>
      </c>
      <c r="D64" s="175" t="s">
        <v>131</v>
      </c>
      <c r="E64" s="175">
        <v>1</v>
      </c>
      <c r="F64" s="175">
        <v>0.5</v>
      </c>
      <c r="G64" s="177">
        <v>2</v>
      </c>
      <c r="H64" s="20">
        <f t="shared" si="3"/>
        <v>549.4</v>
      </c>
      <c r="I64" s="530">
        <v>378.16180000000003</v>
      </c>
      <c r="J64" s="179">
        <f>BDI!$E$26</f>
        <v>0.24929999999999999</v>
      </c>
      <c r="K64" s="235">
        <f t="shared" si="2"/>
        <v>4325.95</v>
      </c>
      <c r="L64" s="6"/>
      <c r="M64" s="6"/>
      <c r="O64" s="318"/>
      <c r="P64" s="173" t="s">
        <v>339</v>
      </c>
    </row>
    <row r="65" spans="1:16" s="158" customFormat="1">
      <c r="A65" s="18"/>
      <c r="B65" s="257"/>
      <c r="C65" s="16"/>
      <c r="D65" s="16"/>
      <c r="E65" s="16"/>
      <c r="F65" s="16"/>
      <c r="G65" s="16"/>
      <c r="H65" s="16"/>
      <c r="I65" s="531" t="s">
        <v>47</v>
      </c>
      <c r="J65" s="16"/>
      <c r="K65" s="181">
        <f>SUM(K54:K64)</f>
        <v>89348.59</v>
      </c>
      <c r="L65" s="6"/>
      <c r="M65" s="6"/>
      <c r="O65" s="317"/>
    </row>
    <row r="66" spans="1:16" s="158" customFormat="1" ht="33.75">
      <c r="A66" s="18"/>
      <c r="B66" s="258" t="s">
        <v>237</v>
      </c>
      <c r="C66" s="156" t="s">
        <v>3</v>
      </c>
      <c r="D66" s="156"/>
      <c r="E66" s="156" t="s">
        <v>173</v>
      </c>
      <c r="F66" s="156"/>
      <c r="G66" s="156"/>
      <c r="H66" s="156"/>
      <c r="I66" s="529" t="s">
        <v>238</v>
      </c>
      <c r="J66" s="156"/>
      <c r="K66" s="156" t="s">
        <v>234</v>
      </c>
      <c r="L66" s="6"/>
      <c r="M66" s="19"/>
      <c r="O66" s="317"/>
    </row>
    <row r="67" spans="1:16" s="158" customFormat="1" ht="15" customHeight="1">
      <c r="A67" s="18"/>
      <c r="B67" s="259" t="s">
        <v>239</v>
      </c>
      <c r="C67" s="174" t="s">
        <v>240</v>
      </c>
      <c r="D67" s="175"/>
      <c r="E67" s="176">
        <f>SUM(E54:E64)</f>
        <v>16</v>
      </c>
      <c r="F67" s="175"/>
      <c r="G67" s="177"/>
      <c r="H67" s="20"/>
      <c r="I67" s="530">
        <v>18.64</v>
      </c>
      <c r="J67" s="179">
        <f>BDI!$E$26</f>
        <v>0.24929999999999999</v>
      </c>
      <c r="K67" s="180">
        <f>E67*(I67*(1+J67))</f>
        <v>372.59123200000005</v>
      </c>
      <c r="L67" s="6"/>
      <c r="M67" s="6"/>
      <c r="O67" s="317"/>
    </row>
    <row r="68" spans="1:16" s="158" customFormat="1">
      <c r="A68" s="18"/>
      <c r="B68" s="259" t="s">
        <v>241</v>
      </c>
      <c r="C68" s="174" t="s">
        <v>240</v>
      </c>
      <c r="D68" s="175"/>
      <c r="E68" s="176">
        <f>E67-(E55+E58+E60)</f>
        <v>11</v>
      </c>
      <c r="F68" s="175"/>
      <c r="G68" s="177"/>
      <c r="H68" s="20"/>
      <c r="I68" s="530">
        <v>18.64</v>
      </c>
      <c r="J68" s="179">
        <f>BDI!$E$26</f>
        <v>0.24929999999999999</v>
      </c>
      <c r="K68" s="180">
        <f>E68*(I68*(1+J68))</f>
        <v>256.15647200000001</v>
      </c>
      <c r="L68" s="6"/>
      <c r="M68" s="6"/>
      <c r="O68" s="317"/>
    </row>
    <row r="69" spans="1:16" s="158" customFormat="1">
      <c r="A69" s="18"/>
      <c r="B69" s="257" t="s">
        <v>242</v>
      </c>
      <c r="C69" s="16"/>
      <c r="D69" s="16"/>
      <c r="E69" s="16"/>
      <c r="F69" s="16"/>
      <c r="G69" s="16"/>
      <c r="H69" s="16"/>
      <c r="I69" s="531" t="s">
        <v>47</v>
      </c>
      <c r="J69" s="16"/>
      <c r="K69" s="181">
        <f>SUM(K67:K68)</f>
        <v>628.74770400000011</v>
      </c>
      <c r="L69" s="6"/>
      <c r="M69" s="6"/>
      <c r="O69" s="317"/>
    </row>
    <row r="70" spans="1:16" ht="16.5">
      <c r="A70" s="278">
        <v>4</v>
      </c>
      <c r="B70" s="576" t="str">
        <f>INDEX(ORÇAMENTO!E:E,MATCH(A70,ORÇAMENTO!A:A,0))</f>
        <v>ADMINISTRAÇÃO DA OBRA</v>
      </c>
      <c r="C70" s="577"/>
      <c r="D70" s="577"/>
      <c r="E70" s="577"/>
      <c r="F70" s="577"/>
      <c r="G70" s="577"/>
      <c r="H70" s="577"/>
      <c r="I70" s="577"/>
      <c r="J70" s="577"/>
      <c r="K70" s="577"/>
      <c r="L70" s="577"/>
      <c r="M70" s="578"/>
      <c r="O70" s="318" t="str">
        <f>IFERROR(IF(L70="","",INDEX(ORÇAMENTO!C:C,MATCH(A70,ORÇAMENTO!A:A,0))),"")</f>
        <v/>
      </c>
      <c r="P70" s="93" t="str">
        <f>IFERROR(IF(L70="","",INDEX(ORÇAMENTO!D:D,MATCH(A70,ORÇAMENTO!A:A,0))),"")</f>
        <v/>
      </c>
    </row>
    <row r="71" spans="1:16" ht="15" customHeight="1">
      <c r="A71" s="63" t="s">
        <v>438</v>
      </c>
      <c r="B71" s="586" t="str">
        <f>INDEX(ORÇAMENTO!E:E,MATCH(A71,ORÇAMENTO!A:A,0))</f>
        <v>ENGENHEIRO CIVIL DE OBRA PLENO COM ENCARGOS COMPLEMENTARES</v>
      </c>
      <c r="C71" s="589"/>
      <c r="D71" s="589"/>
      <c r="E71" s="589"/>
      <c r="F71" s="589"/>
      <c r="G71" s="589"/>
      <c r="H71" s="589"/>
      <c r="I71" s="589"/>
      <c r="J71" s="589"/>
      <c r="K71" s="588"/>
      <c r="L71" s="64">
        <f>ROUND(F74,2)</f>
        <v>6</v>
      </c>
      <c r="M71" s="63" t="s">
        <v>120</v>
      </c>
      <c r="O71" s="318">
        <f>IFERROR(IF(L71="","",INDEX(ORÇAMENTO!C:C,MATCH(A71,ORÇAMENTO!A:A,0))),"")</f>
        <v>93567</v>
      </c>
      <c r="P71" s="93" t="str">
        <f>IFERROR(IF(L71="","",INDEX(ORÇAMENTO!D:D,MATCH(A71,ORÇAMENTO!A:A,0))),"")</f>
        <v>SINAPI</v>
      </c>
    </row>
    <row r="72" spans="1:16">
      <c r="A72" s="18"/>
      <c r="B72" s="333"/>
      <c r="C72" s="334" t="s">
        <v>119</v>
      </c>
      <c r="D72" s="334" t="s">
        <v>58</v>
      </c>
      <c r="E72" s="334" t="s">
        <v>57</v>
      </c>
      <c r="F72" s="334" t="s">
        <v>44</v>
      </c>
      <c r="G72" s="334" t="s">
        <v>45</v>
      </c>
      <c r="H72" s="334" t="s">
        <v>46</v>
      </c>
      <c r="I72" s="268"/>
      <c r="J72" s="268"/>
      <c r="K72" s="268"/>
      <c r="L72" s="6"/>
      <c r="M72" s="19"/>
      <c r="O72" s="318" t="str">
        <f>IFERROR(IF(L72="","",INDEX(ORÇAMENTO!C:C,MATCH(A72,ORÇAMENTO!A:A,0))),"")</f>
        <v/>
      </c>
      <c r="P72" s="93" t="str">
        <f>IFERROR(IF(L72="","",INDEX(ORÇAMENTO!D:D,MATCH(A72,ORÇAMENTO!A:A,0))),"")</f>
        <v/>
      </c>
    </row>
    <row r="73" spans="1:16">
      <c r="A73" s="18"/>
      <c r="B73" s="338" t="s">
        <v>49</v>
      </c>
      <c r="C73" s="267">
        <v>1</v>
      </c>
      <c r="D73" s="267">
        <v>6</v>
      </c>
      <c r="E73" s="267">
        <v>1</v>
      </c>
      <c r="F73" s="271">
        <f>PRODUCT(C73:E73)</f>
        <v>6</v>
      </c>
      <c r="G73" s="339"/>
      <c r="H73" s="267"/>
      <c r="I73" s="268"/>
      <c r="J73" s="268"/>
      <c r="K73" s="268"/>
      <c r="L73" s="6"/>
      <c r="M73" s="19"/>
      <c r="O73" s="318" t="str">
        <f>IFERROR(IF(L73="","",INDEX(ORÇAMENTO!C:C,MATCH(A73,ORÇAMENTO!A:A,0))),"")</f>
        <v/>
      </c>
      <c r="P73" s="93" t="str">
        <f>IFERROR(IF(L73="","",INDEX(ORÇAMENTO!D:D,MATCH(A73,ORÇAMENTO!A:A,0))),"")</f>
        <v/>
      </c>
    </row>
    <row r="74" spans="1:16">
      <c r="A74" s="19"/>
      <c r="B74" s="338"/>
      <c r="C74" s="340"/>
      <c r="D74" s="340"/>
      <c r="E74" s="269" t="s">
        <v>47</v>
      </c>
      <c r="F74" s="270">
        <f>SUM(F73)</f>
        <v>6</v>
      </c>
      <c r="G74" s="157"/>
      <c r="H74" s="268"/>
      <c r="I74" s="268"/>
      <c r="J74" s="268"/>
      <c r="K74" s="268"/>
      <c r="L74" s="6"/>
      <c r="M74" s="19"/>
      <c r="O74" s="318" t="str">
        <f>IFERROR(IF(L74="","",INDEX(ORÇAMENTO!C:C,MATCH(A74,ORÇAMENTO!A:A,0))),"")</f>
        <v/>
      </c>
      <c r="P74" s="93" t="str">
        <f>IFERROR(IF(L74="","",INDEX(ORÇAMENTO!D:D,MATCH(A74,ORÇAMENTO!A:A,0))),"")</f>
        <v/>
      </c>
    </row>
    <row r="75" spans="1:16" ht="15" customHeight="1">
      <c r="A75" s="63" t="s">
        <v>441</v>
      </c>
      <c r="B75" s="586" t="str">
        <f>INDEX(ORÇAMENTO!E:E,MATCH(A75,ORÇAMENTO!A:A,0))</f>
        <v>MESTRE DE OBRAS COM ENCARGOS COMPLEMENTARES</v>
      </c>
      <c r="C75" s="589"/>
      <c r="D75" s="589"/>
      <c r="E75" s="589"/>
      <c r="F75" s="589"/>
      <c r="G75" s="589"/>
      <c r="H75" s="589"/>
      <c r="I75" s="589"/>
      <c r="J75" s="589"/>
      <c r="K75" s="588"/>
      <c r="L75" s="64">
        <f>ROUND(F78,2)</f>
        <v>6</v>
      </c>
      <c r="M75" s="63" t="s">
        <v>120</v>
      </c>
      <c r="O75" s="318">
        <f>IFERROR(IF(L75="","",INDEX(ORÇAMENTO!C:C,MATCH(A75,ORÇAMENTO!A:A,0))),"")</f>
        <v>94295</v>
      </c>
      <c r="P75" s="93" t="str">
        <f>IFERROR(IF(L75="","",INDEX(ORÇAMENTO!D:D,MATCH(A75,ORÇAMENTO!A:A,0))),"")</f>
        <v>SINAPI</v>
      </c>
    </row>
    <row r="76" spans="1:16">
      <c r="A76" s="18"/>
      <c r="B76" s="333"/>
      <c r="C76" s="334" t="s">
        <v>119</v>
      </c>
      <c r="D76" s="334" t="s">
        <v>58</v>
      </c>
      <c r="E76" s="334" t="s">
        <v>57</v>
      </c>
      <c r="F76" s="334" t="s">
        <v>44</v>
      </c>
      <c r="G76" s="334" t="s">
        <v>45</v>
      </c>
      <c r="H76" s="334" t="s">
        <v>46</v>
      </c>
      <c r="I76" s="268"/>
      <c r="J76" s="268"/>
      <c r="K76" s="268"/>
      <c r="L76" s="6"/>
      <c r="M76" s="19"/>
      <c r="O76" s="318" t="str">
        <f>IFERROR(IF(L76="","",INDEX(ORÇAMENTO!C:C,MATCH(A76,ORÇAMENTO!A:A,0))),"")</f>
        <v/>
      </c>
      <c r="P76" s="93" t="str">
        <f>IFERROR(IF(L76="","",INDEX(ORÇAMENTO!D:D,MATCH(A76,ORÇAMENTO!A:A,0))),"")</f>
        <v/>
      </c>
    </row>
    <row r="77" spans="1:16">
      <c r="A77" s="18"/>
      <c r="B77" s="338" t="s">
        <v>51</v>
      </c>
      <c r="C77" s="267">
        <v>1</v>
      </c>
      <c r="D77" s="267">
        <v>6</v>
      </c>
      <c r="E77" s="267">
        <v>1</v>
      </c>
      <c r="F77" s="271">
        <f>PRODUCT(C77:E77)</f>
        <v>6</v>
      </c>
      <c r="G77" s="268"/>
      <c r="H77" s="267"/>
      <c r="I77" s="268"/>
      <c r="J77" s="268"/>
      <c r="K77" s="268"/>
      <c r="L77" s="6"/>
      <c r="M77" s="19"/>
      <c r="O77" s="318" t="str">
        <f>IFERROR(IF(L77="","",INDEX(ORÇAMENTO!C:C,MATCH(A77,ORÇAMENTO!A:A,0))),"")</f>
        <v/>
      </c>
      <c r="P77" s="93" t="str">
        <f>IFERROR(IF(L77="","",INDEX(ORÇAMENTO!D:D,MATCH(A77,ORÇAMENTO!A:A,0))),"")</f>
        <v/>
      </c>
    </row>
    <row r="78" spans="1:16">
      <c r="A78" s="19"/>
      <c r="B78" s="338"/>
      <c r="C78" s="340"/>
      <c r="D78" s="340"/>
      <c r="E78" s="269" t="s">
        <v>47</v>
      </c>
      <c r="F78" s="270">
        <f>SUM(F77)</f>
        <v>6</v>
      </c>
      <c r="G78" s="268"/>
      <c r="H78" s="268"/>
      <c r="I78" s="268"/>
      <c r="J78" s="268"/>
      <c r="K78" s="268"/>
      <c r="L78" s="6"/>
      <c r="M78" s="19"/>
      <c r="O78" s="318" t="str">
        <f>IFERROR(IF(L78="","",INDEX(ORÇAMENTO!C:C,MATCH(A78,ORÇAMENTO!A:A,0))),"")</f>
        <v/>
      </c>
      <c r="P78" s="93" t="str">
        <f>IFERROR(IF(L78="","",INDEX(ORÇAMENTO!D:D,MATCH(A78,ORÇAMENTO!A:A,0))),"")</f>
        <v/>
      </c>
    </row>
    <row r="79" spans="1:16" ht="15" customHeight="1">
      <c r="A79" s="63" t="s">
        <v>442</v>
      </c>
      <c r="B79" s="586" t="str">
        <f>INDEX(ORÇAMENTO!E:E,MATCH(A79,ORÇAMENTO!A:A,0))</f>
        <v>VIGIA NOTURNO COM ENCARGOS COMPLEMENTARES</v>
      </c>
      <c r="C79" s="589"/>
      <c r="D79" s="589"/>
      <c r="E79" s="589"/>
      <c r="F79" s="589"/>
      <c r="G79" s="589"/>
      <c r="H79" s="589"/>
      <c r="I79" s="589"/>
      <c r="J79" s="589"/>
      <c r="K79" s="588"/>
      <c r="L79" s="64">
        <f>ROUND(F82,2)</f>
        <v>3960</v>
      </c>
      <c r="M79" s="63" t="s">
        <v>22</v>
      </c>
      <c r="O79" s="318">
        <f>IFERROR(IF(L79="","",INDEX(ORÇAMENTO!C:C,MATCH(A79,ORÇAMENTO!A:A,0))),"")</f>
        <v>88326</v>
      </c>
      <c r="P79" s="93" t="str">
        <f>IFERROR(IF(L79="","",INDEX(ORÇAMENTO!D:D,MATCH(A79,ORÇAMENTO!A:A,0))),"")</f>
        <v>SINAPI</v>
      </c>
    </row>
    <row r="80" spans="1:16">
      <c r="A80" s="18"/>
      <c r="B80" s="333"/>
      <c r="C80" s="334" t="s">
        <v>56</v>
      </c>
      <c r="D80" s="334" t="s">
        <v>58</v>
      </c>
      <c r="E80" s="334" t="s">
        <v>57</v>
      </c>
      <c r="F80" s="334" t="s">
        <v>44</v>
      </c>
      <c r="G80" s="334" t="s">
        <v>45</v>
      </c>
      <c r="H80" s="334" t="s">
        <v>46</v>
      </c>
      <c r="I80" s="268"/>
      <c r="J80" s="268"/>
      <c r="K80" s="268"/>
      <c r="L80" s="6"/>
      <c r="M80" s="19"/>
      <c r="O80" s="318" t="str">
        <f>IFERROR(IF(L80="","",INDEX(ORÇAMENTO!C:C,MATCH(A80,ORÇAMENTO!A:A,0))),"")</f>
        <v/>
      </c>
      <c r="P80" s="93" t="str">
        <f>IFERROR(IF(L80="","",INDEX(ORÇAMENTO!D:D,MATCH(A80,ORÇAMENTO!A:A,0))),"")</f>
        <v/>
      </c>
    </row>
    <row r="81" spans="1:16">
      <c r="A81" s="18"/>
      <c r="B81" s="338" t="s">
        <v>53</v>
      </c>
      <c r="C81" s="267">
        <v>220</v>
      </c>
      <c r="D81" s="267">
        <v>6</v>
      </c>
      <c r="E81" s="267">
        <v>3</v>
      </c>
      <c r="F81" s="271">
        <f>PRODUCT(C81:E81)</f>
        <v>3960</v>
      </c>
      <c r="G81" s="267"/>
      <c r="H81" s="267"/>
      <c r="I81" s="268"/>
      <c r="J81" s="268"/>
      <c r="K81" s="268"/>
      <c r="L81" s="6"/>
      <c r="M81" s="19"/>
      <c r="O81" s="318" t="str">
        <f>IFERROR(IF(L81="","",INDEX(ORÇAMENTO!C:C,MATCH(A81,ORÇAMENTO!A:A,0))),"")</f>
        <v/>
      </c>
      <c r="P81" s="93" t="str">
        <f>IFERROR(IF(L81="","",INDEX(ORÇAMENTO!D:D,MATCH(A81,ORÇAMENTO!A:A,0))),"")</f>
        <v/>
      </c>
    </row>
    <row r="82" spans="1:16">
      <c r="A82" s="19"/>
      <c r="B82" s="338"/>
      <c r="C82" s="340"/>
      <c r="D82" s="340"/>
      <c r="E82" s="269" t="s">
        <v>47</v>
      </c>
      <c r="F82" s="270">
        <f>SUM(F81)</f>
        <v>3960</v>
      </c>
      <c r="G82" s="268"/>
      <c r="H82" s="268"/>
      <c r="I82" s="268"/>
      <c r="J82" s="268"/>
      <c r="K82" s="268"/>
      <c r="L82" s="6"/>
      <c r="M82" s="19"/>
      <c r="O82" s="318" t="str">
        <f>IFERROR(IF(L82="","",INDEX(ORÇAMENTO!C:C,MATCH(A82,ORÇAMENTO!A:A,0))),"")</f>
        <v/>
      </c>
      <c r="P82" s="93" t="str">
        <f>IFERROR(IF(L82="","",INDEX(ORÇAMENTO!D:D,MATCH(A82,ORÇAMENTO!A:A,0))),"")</f>
        <v/>
      </c>
    </row>
    <row r="83" spans="1:16" ht="15" customHeight="1">
      <c r="A83" s="63" t="s">
        <v>443</v>
      </c>
      <c r="B83" s="586" t="str">
        <f>INDEX(ORÇAMENTO!E:E,MATCH(A83,ORÇAMENTO!A:A,0))</f>
        <v>ALMOXARIFE COM ENCARGOS COMPLEMENTARES</v>
      </c>
      <c r="C83" s="589"/>
      <c r="D83" s="589"/>
      <c r="E83" s="589"/>
      <c r="F83" s="589"/>
      <c r="G83" s="589"/>
      <c r="H83" s="589"/>
      <c r="I83" s="589"/>
      <c r="J83" s="589"/>
      <c r="K83" s="588"/>
      <c r="L83" s="64">
        <f>ROUND(F86,2)</f>
        <v>6</v>
      </c>
      <c r="M83" s="63" t="s">
        <v>120</v>
      </c>
      <c r="O83" s="318">
        <f>IFERROR(IF(L83="","",INDEX(ORÇAMENTO!C:C,MATCH(A83,ORÇAMENTO!A:A,0))),"")</f>
        <v>93563</v>
      </c>
      <c r="P83" s="93" t="str">
        <f>IFERROR(IF(L83="","",INDEX(ORÇAMENTO!D:D,MATCH(A83,ORÇAMENTO!A:A,0))),"")</f>
        <v>SINAPI</v>
      </c>
    </row>
    <row r="84" spans="1:16">
      <c r="A84" s="18"/>
      <c r="B84" s="333"/>
      <c r="C84" s="334" t="s">
        <v>119</v>
      </c>
      <c r="D84" s="334" t="s">
        <v>58</v>
      </c>
      <c r="E84" s="334" t="s">
        <v>57</v>
      </c>
      <c r="F84" s="334" t="s">
        <v>44</v>
      </c>
      <c r="G84" s="334" t="s">
        <v>45</v>
      </c>
      <c r="H84" s="334" t="s">
        <v>46</v>
      </c>
      <c r="I84" s="268"/>
      <c r="J84" s="268"/>
      <c r="K84" s="268"/>
      <c r="L84" s="6"/>
      <c r="M84" s="19"/>
      <c r="O84" s="318" t="str">
        <f>IFERROR(IF(L84="","",INDEX(ORÇAMENTO!C:C,MATCH(A84,ORÇAMENTO!A:A,0))),"")</f>
        <v/>
      </c>
      <c r="P84" s="93" t="str">
        <f>IFERROR(IF(L84="","",INDEX(ORÇAMENTO!D:D,MATCH(A84,ORÇAMENTO!A:A,0))),"")</f>
        <v/>
      </c>
    </row>
    <row r="85" spans="1:16">
      <c r="A85" s="18"/>
      <c r="B85" s="338" t="s">
        <v>23</v>
      </c>
      <c r="C85" s="267">
        <v>1</v>
      </c>
      <c r="D85" s="267">
        <v>6</v>
      </c>
      <c r="E85" s="267">
        <v>1</v>
      </c>
      <c r="F85" s="271">
        <f>PRODUCT(C85:E85)</f>
        <v>6</v>
      </c>
      <c r="G85" s="267"/>
      <c r="H85" s="267"/>
      <c r="I85" s="268"/>
      <c r="J85" s="268"/>
      <c r="K85" s="268"/>
      <c r="L85" s="6"/>
      <c r="M85" s="19"/>
      <c r="O85" s="318" t="str">
        <f>IFERROR(IF(L85="","",INDEX(ORÇAMENTO!C:C,MATCH(A85,ORÇAMENTO!A:A,0))),"")</f>
        <v/>
      </c>
      <c r="P85" s="93" t="str">
        <f>IFERROR(IF(L85="","",INDEX(ORÇAMENTO!D:D,MATCH(A85,ORÇAMENTO!A:A,0))),"")</f>
        <v/>
      </c>
    </row>
    <row r="86" spans="1:16">
      <c r="A86" s="19"/>
      <c r="B86" s="338"/>
      <c r="C86" s="340"/>
      <c r="D86" s="340"/>
      <c r="E86" s="269" t="s">
        <v>47</v>
      </c>
      <c r="F86" s="270">
        <f>SUM(F85)</f>
        <v>6</v>
      </c>
      <c r="G86" s="268"/>
      <c r="H86" s="268"/>
      <c r="I86" s="268"/>
      <c r="J86" s="268"/>
      <c r="K86" s="268"/>
      <c r="L86" s="6"/>
      <c r="M86" s="19"/>
      <c r="O86" s="318" t="str">
        <f>IFERROR(IF(L86="","",INDEX(ORÇAMENTO!C:C,MATCH(A86,ORÇAMENTO!A:A,0))),"")</f>
        <v/>
      </c>
      <c r="P86" s="93" t="str">
        <f>IFERROR(IF(L86="","",INDEX(ORÇAMENTO!D:D,MATCH(A86,ORÇAMENTO!A:A,0))),"")</f>
        <v/>
      </c>
    </row>
    <row r="87" spans="1:16" s="158" customFormat="1" ht="15" customHeight="1">
      <c r="A87" s="63" t="s">
        <v>444</v>
      </c>
      <c r="B87" s="586" t="str">
        <f>INDEX(ORÇAMENTO!E:E,MATCH(A87,ORÇAMENTO!A:A,0))</f>
        <v>TÉCNICO EM SEGURANÇA DO TRABALHO COM ENCARGOS COMPLEMENTARES</v>
      </c>
      <c r="C87" s="589"/>
      <c r="D87" s="589"/>
      <c r="E87" s="589"/>
      <c r="F87" s="589"/>
      <c r="G87" s="589"/>
      <c r="H87" s="589"/>
      <c r="I87" s="589"/>
      <c r="J87" s="589"/>
      <c r="K87" s="588"/>
      <c r="L87" s="64">
        <f>ROUND(F90,2)</f>
        <v>6</v>
      </c>
      <c r="M87" s="63" t="s">
        <v>120</v>
      </c>
      <c r="O87" s="318">
        <f>IFERROR(IF(L87="","",INDEX(ORÇAMENTO!C:C,MATCH(A87,ORÇAMENTO!A:A,0))),"")</f>
        <v>100321</v>
      </c>
      <c r="P87" s="93" t="str">
        <f>IFERROR(IF(L87="","",INDEX(ORÇAMENTO!D:D,MATCH(A87,ORÇAMENTO!A:A,0))),"")</f>
        <v>SINAPI</v>
      </c>
    </row>
    <row r="88" spans="1:16" s="158" customFormat="1">
      <c r="A88" s="18"/>
      <c r="B88" s="333"/>
      <c r="C88" s="334" t="s">
        <v>119</v>
      </c>
      <c r="D88" s="334" t="s">
        <v>58</v>
      </c>
      <c r="E88" s="334" t="s">
        <v>57</v>
      </c>
      <c r="F88" s="334" t="s">
        <v>44</v>
      </c>
      <c r="G88" s="334" t="s">
        <v>45</v>
      </c>
      <c r="H88" s="334" t="s">
        <v>46</v>
      </c>
      <c r="I88" s="268"/>
      <c r="J88" s="268"/>
      <c r="K88" s="268"/>
      <c r="L88" s="6"/>
      <c r="M88" s="19"/>
      <c r="O88" s="318" t="str">
        <f>IFERROR(IF(L88="","",INDEX(ORÇAMENTO!C:C,MATCH(A88,ORÇAMENTO!A:A,0))),"")</f>
        <v/>
      </c>
      <c r="P88" s="93" t="str">
        <f>IFERROR(IF(L88="","",INDEX(ORÇAMENTO!D:D,MATCH(A88,ORÇAMENTO!A:A,0))),"")</f>
        <v/>
      </c>
    </row>
    <row r="89" spans="1:16" s="158" customFormat="1">
      <c r="A89" s="18"/>
      <c r="B89" s="338" t="s">
        <v>379</v>
      </c>
      <c r="C89" s="267">
        <v>1</v>
      </c>
      <c r="D89" s="267">
        <v>6</v>
      </c>
      <c r="E89" s="267">
        <v>1</v>
      </c>
      <c r="F89" s="271">
        <f>PRODUCT(C89:E89)</f>
        <v>6</v>
      </c>
      <c r="G89" s="267"/>
      <c r="H89" s="267"/>
      <c r="I89" s="268"/>
      <c r="J89" s="268"/>
      <c r="K89" s="268"/>
      <c r="L89" s="6"/>
      <c r="M89" s="19"/>
      <c r="O89" s="318" t="str">
        <f>IFERROR(IF(L89="","",INDEX(ORÇAMENTO!C:C,MATCH(A89,ORÇAMENTO!A:A,0))),"")</f>
        <v/>
      </c>
      <c r="P89" s="93" t="str">
        <f>IFERROR(IF(L89="","",INDEX(ORÇAMENTO!D:D,MATCH(A89,ORÇAMENTO!A:A,0))),"")</f>
        <v/>
      </c>
    </row>
    <row r="90" spans="1:16" s="158" customFormat="1">
      <c r="A90" s="19"/>
      <c r="B90" s="338"/>
      <c r="C90" s="340"/>
      <c r="D90" s="340"/>
      <c r="E90" s="269" t="s">
        <v>47</v>
      </c>
      <c r="F90" s="270">
        <f>SUM(F89)</f>
        <v>6</v>
      </c>
      <c r="G90" s="268"/>
      <c r="H90" s="268"/>
      <c r="I90" s="268"/>
      <c r="J90" s="268"/>
      <c r="K90" s="268"/>
      <c r="L90" s="6"/>
      <c r="M90" s="19"/>
      <c r="O90" s="318" t="str">
        <f>IFERROR(IF(L90="","",INDEX(ORÇAMENTO!C:C,MATCH(A90,ORÇAMENTO!A:A,0))),"")</f>
        <v/>
      </c>
      <c r="P90" s="93" t="str">
        <f>IFERROR(IF(L90="","",INDEX(ORÇAMENTO!D:D,MATCH(A90,ORÇAMENTO!A:A,0))),"")</f>
        <v/>
      </c>
    </row>
    <row r="91" spans="1:16" s="158" customFormat="1" ht="15" customHeight="1">
      <c r="A91" s="63" t="s">
        <v>445</v>
      </c>
      <c r="B91" s="586" t="str">
        <f>INDEX(ORÇAMENTO!E:E,MATCH(A91,ORÇAMENTO!A:A,0))</f>
        <v>TOPOGRAFO COM ENCARGOS COMPLEMENTARES</v>
      </c>
      <c r="C91" s="589"/>
      <c r="D91" s="589"/>
      <c r="E91" s="589"/>
      <c r="F91" s="589"/>
      <c r="G91" s="589"/>
      <c r="H91" s="589"/>
      <c r="I91" s="589"/>
      <c r="J91" s="589"/>
      <c r="K91" s="588"/>
      <c r="L91" s="64">
        <f>ROUND(F94,2)</f>
        <v>6</v>
      </c>
      <c r="M91" s="63" t="s">
        <v>120</v>
      </c>
      <c r="O91" s="318">
        <f>IFERROR(IF(L91="","",INDEX(ORÇAMENTO!C:C,MATCH(A91,ORÇAMENTO!A:A,0))),"")</f>
        <v>94296</v>
      </c>
      <c r="P91" s="93" t="str">
        <f>IFERROR(IF(L91="","",INDEX(ORÇAMENTO!D:D,MATCH(A91,ORÇAMENTO!A:A,0))),"")</f>
        <v>SINAPI</v>
      </c>
    </row>
    <row r="92" spans="1:16" s="158" customFormat="1">
      <c r="A92" s="18"/>
      <c r="B92" s="333"/>
      <c r="C92" s="334" t="s">
        <v>119</v>
      </c>
      <c r="D92" s="334" t="s">
        <v>58</v>
      </c>
      <c r="E92" s="334" t="s">
        <v>57</v>
      </c>
      <c r="F92" s="334" t="s">
        <v>44</v>
      </c>
      <c r="G92" s="334" t="s">
        <v>45</v>
      </c>
      <c r="H92" s="334" t="s">
        <v>46</v>
      </c>
      <c r="I92" s="268"/>
      <c r="J92" s="268"/>
      <c r="K92" s="268"/>
      <c r="L92" s="6"/>
      <c r="M92" s="19"/>
      <c r="O92" s="318" t="str">
        <f>IFERROR(IF(L92="","",INDEX(ORÇAMENTO!C:C,MATCH(A92,ORÇAMENTO!A:A,0))),"")</f>
        <v/>
      </c>
      <c r="P92" s="93" t="str">
        <f>IFERROR(IF(L92="","",INDEX(ORÇAMENTO!D:D,MATCH(A92,ORÇAMENTO!A:A,0))),"")</f>
        <v/>
      </c>
    </row>
    <row r="93" spans="1:16" s="158" customFormat="1">
      <c r="A93" s="18"/>
      <c r="B93" s="338" t="s">
        <v>27</v>
      </c>
      <c r="C93" s="267">
        <v>1</v>
      </c>
      <c r="D93" s="267">
        <v>6</v>
      </c>
      <c r="E93" s="267">
        <v>1</v>
      </c>
      <c r="F93" s="271">
        <f>PRODUCT(C93:E93)</f>
        <v>6</v>
      </c>
      <c r="G93" s="268"/>
      <c r="H93" s="267"/>
      <c r="I93" s="268"/>
      <c r="J93" s="268"/>
      <c r="K93" s="268"/>
      <c r="L93" s="6"/>
      <c r="M93" s="19"/>
      <c r="O93" s="318" t="str">
        <f>IFERROR(IF(L93="","",INDEX(ORÇAMENTO!C:C,MATCH(A93,ORÇAMENTO!A:A,0))),"")</f>
        <v/>
      </c>
      <c r="P93" s="93" t="str">
        <f>IFERROR(IF(L93="","",INDEX(ORÇAMENTO!D:D,MATCH(A93,ORÇAMENTO!A:A,0))),"")</f>
        <v/>
      </c>
    </row>
    <row r="94" spans="1:16" s="158" customFormat="1">
      <c r="A94" s="19"/>
      <c r="B94" s="338"/>
      <c r="C94" s="340"/>
      <c r="D94" s="340"/>
      <c r="E94" s="269" t="s">
        <v>47</v>
      </c>
      <c r="F94" s="270">
        <f>SUM(F93)</f>
        <v>6</v>
      </c>
      <c r="G94" s="268"/>
      <c r="H94" s="268"/>
      <c r="I94" s="268"/>
      <c r="J94" s="268"/>
      <c r="K94" s="268"/>
      <c r="L94" s="6"/>
      <c r="M94" s="19"/>
      <c r="O94" s="318" t="str">
        <f>IFERROR(IF(L94="","",INDEX(ORÇAMENTO!C:C,MATCH(A94,ORÇAMENTO!A:A,0))),"")</f>
        <v/>
      </c>
      <c r="P94" s="93" t="str">
        <f>IFERROR(IF(L94="","",INDEX(ORÇAMENTO!D:D,MATCH(A94,ORÇAMENTO!A:A,0))),"")</f>
        <v/>
      </c>
    </row>
    <row r="95" spans="1:16" s="158" customFormat="1" ht="15" customHeight="1">
      <c r="A95" s="63" t="s">
        <v>446</v>
      </c>
      <c r="B95" s="586" t="str">
        <f>INDEX(ORÇAMENTO!E:E,MATCH(A95,ORÇAMENTO!A:A,0))</f>
        <v>AUXILIAR DE TOPÓGRAFO COM ENCARGOS COMPLEMENTARES</v>
      </c>
      <c r="C95" s="589"/>
      <c r="D95" s="589"/>
      <c r="E95" s="589"/>
      <c r="F95" s="589"/>
      <c r="G95" s="589"/>
      <c r="H95" s="589"/>
      <c r="I95" s="589"/>
      <c r="J95" s="589"/>
      <c r="K95" s="588"/>
      <c r="L95" s="64">
        <f>ROUND(F98,2)</f>
        <v>12</v>
      </c>
      <c r="M95" s="63" t="s">
        <v>120</v>
      </c>
      <c r="O95" s="318">
        <f>IFERROR(IF(L95="","",INDEX(ORÇAMENTO!C:C,MATCH(A95,ORÇAMENTO!A:A,0))),"")</f>
        <v>101389</v>
      </c>
      <c r="P95" s="93" t="str">
        <f>IFERROR(IF(L95="","",INDEX(ORÇAMENTO!D:D,MATCH(A95,ORÇAMENTO!A:A,0))),"")</f>
        <v>SINAPI</v>
      </c>
    </row>
    <row r="96" spans="1:16" s="158" customFormat="1">
      <c r="A96" s="18"/>
      <c r="B96" s="333"/>
      <c r="C96" s="334" t="s">
        <v>119</v>
      </c>
      <c r="D96" s="334" t="s">
        <v>58</v>
      </c>
      <c r="E96" s="334" t="s">
        <v>57</v>
      </c>
      <c r="F96" s="334" t="s">
        <v>44</v>
      </c>
      <c r="G96" s="334" t="s">
        <v>45</v>
      </c>
      <c r="H96" s="334" t="s">
        <v>46</v>
      </c>
      <c r="I96" s="268"/>
      <c r="J96" s="268"/>
      <c r="K96" s="268"/>
      <c r="L96" s="6"/>
      <c r="M96" s="19"/>
      <c r="O96" s="318" t="str">
        <f>IFERROR(IF(L96="","",INDEX(ORÇAMENTO!C:C,MATCH(A96,ORÇAMENTO!A:A,0))),"")</f>
        <v/>
      </c>
      <c r="P96" s="93" t="str">
        <f>IFERROR(IF(L96="","",INDEX(ORÇAMENTO!D:D,MATCH(A96,ORÇAMENTO!A:A,0))),"")</f>
        <v/>
      </c>
    </row>
    <row r="97" spans="1:16" s="158" customFormat="1">
      <c r="A97" s="18"/>
      <c r="B97" s="338" t="s">
        <v>380</v>
      </c>
      <c r="C97" s="341">
        <v>1</v>
      </c>
      <c r="D97" s="341">
        <v>6</v>
      </c>
      <c r="E97" s="341">
        <v>2</v>
      </c>
      <c r="F97" s="342">
        <f>PRODUCT(C97:E97)</f>
        <v>12</v>
      </c>
      <c r="G97" s="341"/>
      <c r="H97" s="341"/>
      <c r="I97" s="268"/>
      <c r="J97" s="268"/>
      <c r="K97" s="268"/>
      <c r="L97" s="6"/>
      <c r="M97" s="19"/>
      <c r="O97" s="318" t="str">
        <f>IFERROR(IF(L97="","",INDEX(ORÇAMENTO!C:C,MATCH(A97,ORÇAMENTO!A:A,0))),"")</f>
        <v/>
      </c>
      <c r="P97" s="93" t="str">
        <f>IFERROR(IF(L97="","",INDEX(ORÇAMENTO!D:D,MATCH(A97,ORÇAMENTO!A:A,0))),"")</f>
        <v/>
      </c>
    </row>
    <row r="98" spans="1:16" s="158" customFormat="1">
      <c r="A98" s="19"/>
      <c r="B98" s="338"/>
      <c r="C98" s="340"/>
      <c r="D98" s="340"/>
      <c r="E98" s="269" t="s">
        <v>47</v>
      </c>
      <c r="F98" s="270">
        <f>SUM(F97)</f>
        <v>12</v>
      </c>
      <c r="G98" s="268"/>
      <c r="H98" s="268"/>
      <c r="I98" s="268"/>
      <c r="J98" s="268"/>
      <c r="K98" s="268"/>
      <c r="L98" s="6"/>
      <c r="M98" s="19"/>
      <c r="O98" s="318" t="str">
        <f>IFERROR(IF(L98="","",INDEX(ORÇAMENTO!C:C,MATCH(A98,ORÇAMENTO!A:A,0))),"")</f>
        <v/>
      </c>
      <c r="P98" s="93" t="str">
        <f>IFERROR(IF(L98="","",INDEX(ORÇAMENTO!D:D,MATCH(A98,ORÇAMENTO!A:A,0))),"")</f>
        <v/>
      </c>
    </row>
    <row r="99" spans="1:16" s="158" customFormat="1" ht="15" customHeight="1">
      <c r="A99" s="63" t="s">
        <v>447</v>
      </c>
      <c r="B99" s="586" t="str">
        <f>INDEX(ORÇAMENTO!E:E,MATCH(A99,ORÇAMENTO!A:A,0))</f>
        <v>TÉCNICO DE LABORATÓRIO E CAMPO DE CONSTRUÇÃO COM ENCARGOS COMPLEMENTARES</v>
      </c>
      <c r="C99" s="589"/>
      <c r="D99" s="589"/>
      <c r="E99" s="589"/>
      <c r="F99" s="589"/>
      <c r="G99" s="589"/>
      <c r="H99" s="589"/>
      <c r="I99" s="589"/>
      <c r="J99" s="589"/>
      <c r="K99" s="588"/>
      <c r="L99" s="64">
        <f>ROUND(F102,2)</f>
        <v>6</v>
      </c>
      <c r="M99" s="63" t="s">
        <v>120</v>
      </c>
      <c r="O99" s="318">
        <f>IFERROR(IF(L99="","",INDEX(ORÇAMENTO!C:C,MATCH(A99,ORÇAMENTO!A:A,0))),"")</f>
        <v>101456</v>
      </c>
      <c r="P99" s="93" t="str">
        <f>IFERROR(IF(L99="","",INDEX(ORÇAMENTO!D:D,MATCH(A99,ORÇAMENTO!A:A,0))),"")</f>
        <v>SINAPI</v>
      </c>
    </row>
    <row r="100" spans="1:16" s="158" customFormat="1">
      <c r="A100" s="18"/>
      <c r="B100" s="333"/>
      <c r="C100" s="334" t="s">
        <v>119</v>
      </c>
      <c r="D100" s="334" t="s">
        <v>58</v>
      </c>
      <c r="E100" s="334" t="s">
        <v>57</v>
      </c>
      <c r="F100" s="334" t="s">
        <v>44</v>
      </c>
      <c r="G100" s="334" t="s">
        <v>45</v>
      </c>
      <c r="H100" s="334" t="s">
        <v>46</v>
      </c>
      <c r="I100" s="268"/>
      <c r="J100" s="268"/>
      <c r="K100" s="268"/>
      <c r="L100" s="6"/>
      <c r="M100" s="19"/>
      <c r="O100" s="318" t="str">
        <f>IFERROR(IF(L100="","",INDEX(ORÇAMENTO!C:C,MATCH(A100,ORÇAMENTO!A:A,0))),"")</f>
        <v/>
      </c>
      <c r="P100" s="93" t="str">
        <f>IFERROR(IF(L100="","",INDEX(ORÇAMENTO!D:D,MATCH(A100,ORÇAMENTO!A:A,0))),"")</f>
        <v/>
      </c>
    </row>
    <row r="101" spans="1:16" s="158" customFormat="1">
      <c r="A101" s="18"/>
      <c r="B101" s="338" t="s">
        <v>381</v>
      </c>
      <c r="C101" s="267">
        <v>1</v>
      </c>
      <c r="D101" s="267">
        <v>6</v>
      </c>
      <c r="E101" s="267">
        <v>1</v>
      </c>
      <c r="F101" s="271">
        <f>PRODUCT(C101:E101)</f>
        <v>6</v>
      </c>
      <c r="G101" s="267"/>
      <c r="H101" s="267"/>
      <c r="I101" s="268"/>
      <c r="J101" s="268"/>
      <c r="K101" s="268"/>
      <c r="L101" s="6"/>
      <c r="M101" s="19"/>
      <c r="O101" s="318" t="str">
        <f>IFERROR(IF(L101="","",INDEX(ORÇAMENTO!C:C,MATCH(A101,ORÇAMENTO!A:A,0))),"")</f>
        <v/>
      </c>
      <c r="P101" s="93" t="str">
        <f>IFERROR(IF(L101="","",INDEX(ORÇAMENTO!D:D,MATCH(A101,ORÇAMENTO!A:A,0))),"")</f>
        <v/>
      </c>
    </row>
    <row r="102" spans="1:16" s="158" customFormat="1">
      <c r="A102" s="19"/>
      <c r="B102" s="338"/>
      <c r="C102" s="340"/>
      <c r="D102" s="340"/>
      <c r="E102" s="269" t="s">
        <v>47</v>
      </c>
      <c r="F102" s="270">
        <f>SUM(F101)</f>
        <v>6</v>
      </c>
      <c r="G102" s="268"/>
      <c r="H102" s="268"/>
      <c r="I102" s="268"/>
      <c r="J102" s="268"/>
      <c r="K102" s="268"/>
      <c r="L102" s="6"/>
      <c r="M102" s="19"/>
      <c r="O102" s="318" t="str">
        <f>IFERROR(IF(L102="","",INDEX(ORÇAMENTO!C:C,MATCH(A102,ORÇAMENTO!A:A,0))),"")</f>
        <v/>
      </c>
      <c r="P102" s="93" t="str">
        <f>IFERROR(IF(L102="","",INDEX(ORÇAMENTO!D:D,MATCH(A102,ORÇAMENTO!A:A,0))),"")</f>
        <v/>
      </c>
    </row>
    <row r="103" spans="1:16" s="158" customFormat="1" ht="15" customHeight="1">
      <c r="A103" s="63" t="s">
        <v>448</v>
      </c>
      <c r="B103" s="586" t="str">
        <f>INDEX(ORÇAMENTO!E:E,MATCH(A103,ORÇAMENTO!A:A,0))</f>
        <v>AUXILIAR DE LABORATORISTA DE SOLOS E DE CONCRETO COM ENCARGOS COMPLEMENTARES</v>
      </c>
      <c r="C103" s="589"/>
      <c r="D103" s="589"/>
      <c r="E103" s="589"/>
      <c r="F103" s="589"/>
      <c r="G103" s="589"/>
      <c r="H103" s="589"/>
      <c r="I103" s="589"/>
      <c r="J103" s="589"/>
      <c r="K103" s="588"/>
      <c r="L103" s="64">
        <f>ROUND(F106,2)</f>
        <v>6</v>
      </c>
      <c r="M103" s="63" t="s">
        <v>120</v>
      </c>
      <c r="O103" s="318">
        <f>IFERROR(IF(L103="","",INDEX(ORÇAMENTO!C:C,MATCH(A103,ORÇAMENTO!A:A,0))),"")</f>
        <v>101385</v>
      </c>
      <c r="P103" s="93" t="str">
        <f>IFERROR(IF(L103="","",INDEX(ORÇAMENTO!D:D,MATCH(A103,ORÇAMENTO!A:A,0))),"")</f>
        <v>SINAPI</v>
      </c>
    </row>
    <row r="104" spans="1:16" s="158" customFormat="1">
      <c r="A104" s="18"/>
      <c r="B104" s="333"/>
      <c r="C104" s="334" t="s">
        <v>119</v>
      </c>
      <c r="D104" s="334" t="s">
        <v>58</v>
      </c>
      <c r="E104" s="334" t="s">
        <v>57</v>
      </c>
      <c r="F104" s="334" t="s">
        <v>44</v>
      </c>
      <c r="G104" s="334" t="s">
        <v>45</v>
      </c>
      <c r="H104" s="334" t="s">
        <v>46</v>
      </c>
      <c r="I104" s="268"/>
      <c r="J104" s="268"/>
      <c r="K104" s="268"/>
      <c r="L104" s="6"/>
      <c r="M104" s="19"/>
      <c r="O104" s="318" t="str">
        <f>IFERROR(IF(L104="","",INDEX(ORÇAMENTO!C:C,MATCH(A104,ORÇAMENTO!A:A,0))),"")</f>
        <v/>
      </c>
      <c r="P104" s="93" t="str">
        <f>IFERROR(IF(L104="","",INDEX(ORÇAMENTO!D:D,MATCH(A104,ORÇAMENTO!A:A,0))),"")</f>
        <v/>
      </c>
    </row>
    <row r="105" spans="1:16" s="158" customFormat="1" ht="30" customHeight="1">
      <c r="A105" s="18"/>
      <c r="B105" s="335" t="s">
        <v>24</v>
      </c>
      <c r="C105" s="341">
        <v>1</v>
      </c>
      <c r="D105" s="341">
        <v>6</v>
      </c>
      <c r="E105" s="341">
        <v>1</v>
      </c>
      <c r="F105" s="342">
        <f>PRODUCT(C105:E105)</f>
        <v>6</v>
      </c>
      <c r="G105" s="341"/>
      <c r="H105" s="341"/>
      <c r="I105" s="343"/>
      <c r="J105" s="343"/>
      <c r="K105" s="343"/>
      <c r="L105" s="237"/>
      <c r="M105" s="238"/>
      <c r="O105" s="318" t="str">
        <f>IFERROR(IF(L105="","",INDEX(ORÇAMENTO!C:C,MATCH(A105,ORÇAMENTO!A:A,0))),"")</f>
        <v/>
      </c>
      <c r="P105" s="93" t="str">
        <f>IFERROR(IF(L105="","",INDEX(ORÇAMENTO!D:D,MATCH(A105,ORÇAMENTO!A:A,0))),"")</f>
        <v/>
      </c>
    </row>
    <row r="106" spans="1:16" s="158" customFormat="1">
      <c r="A106" s="19"/>
      <c r="B106" s="257"/>
      <c r="C106" s="65"/>
      <c r="D106" s="65"/>
      <c r="E106" s="21" t="s">
        <v>47</v>
      </c>
      <c r="F106" s="22">
        <f>SUM(F105)</f>
        <v>6</v>
      </c>
      <c r="G106" s="19"/>
      <c r="H106" s="19"/>
      <c r="I106" s="19"/>
      <c r="J106" s="19"/>
      <c r="K106" s="19"/>
      <c r="L106" s="6"/>
      <c r="M106" s="19"/>
      <c r="O106" s="318" t="str">
        <f>IFERROR(IF(L106="","",INDEX(ORÇAMENTO!C:C,MATCH(A106,ORÇAMENTO!A:A,0))),"")</f>
        <v/>
      </c>
      <c r="P106" s="93" t="str">
        <f>IFERROR(IF(L106="","",INDEX(ORÇAMENTO!D:D,MATCH(A106,ORÇAMENTO!A:A,0))),"")</f>
        <v/>
      </c>
    </row>
    <row r="107" spans="1:16" s="158" customFormat="1" ht="30" customHeight="1">
      <c r="A107" s="272">
        <v>5</v>
      </c>
      <c r="B107" s="273" t="str">
        <f>INDEX(ORÇAMENTO!E:E,MATCH(A107,ORÇAMENTO!A:A,0))</f>
        <v>SISTEMA DE DRENAGEM SUBSUPERFICIAL DA BACIA DO FOREBAY</v>
      </c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  <c r="M107" s="275"/>
      <c r="O107" s="318" t="str">
        <f>IFERROR(IF(L107="","",INDEX(ORÇAMENTO!C:C,MATCH(A107,ORÇAMENTO!A:A,0))),"")</f>
        <v/>
      </c>
      <c r="P107" s="93" t="str">
        <f>IFERROR(IF(L107="","",INDEX(ORÇAMENTO!D:D,MATCH(A107,ORÇAMENTO!A:A,0))),"")</f>
        <v/>
      </c>
    </row>
    <row r="108" spans="1:16" s="71" customFormat="1" ht="30" customHeight="1">
      <c r="A108" s="278" t="s">
        <v>425</v>
      </c>
      <c r="B108" s="576" t="str">
        <f>INDEX(ORÇAMENTO!E:E,MATCH(A108,ORÇAMENTO!A:A,0))</f>
        <v>DEMOLIÇÃO DE PLACAS DE CONCRETO SIMPLES COM REMOÇÃO PARA BOTA-FORA</v>
      </c>
      <c r="C108" s="577"/>
      <c r="D108" s="577"/>
      <c r="E108" s="577"/>
      <c r="F108" s="577"/>
      <c r="G108" s="577"/>
      <c r="H108" s="577"/>
      <c r="I108" s="577"/>
      <c r="J108" s="577"/>
      <c r="K108" s="577"/>
      <c r="L108" s="577"/>
      <c r="M108" s="578"/>
      <c r="O108" s="318" t="str">
        <f>IFERROR(IF(L108="","",INDEX(ORÇAMENTO!C:C,MATCH(A108,ORÇAMENTO!A:A,0))),"")</f>
        <v/>
      </c>
      <c r="P108" s="93" t="str">
        <f>IFERROR(IF(L108="","",INDEX(ORÇAMENTO!D:D,MATCH(A108,ORÇAMENTO!A:A,0))),"")</f>
        <v/>
      </c>
    </row>
    <row r="109" spans="1:16" s="71" customFormat="1" ht="35.25" customHeight="1">
      <c r="A109" s="233" t="s">
        <v>449</v>
      </c>
      <c r="B109" s="564" t="str">
        <f>INDEX(ORÇAMENTO!E:E,MATCH(A109,ORÇAMENTO!A:A,0))</f>
        <v>DEMOLIÇÃO DE CONCRETO SIMPLES</v>
      </c>
      <c r="C109" s="565"/>
      <c r="D109" s="565"/>
      <c r="E109" s="565"/>
      <c r="F109" s="565"/>
      <c r="G109" s="565"/>
      <c r="H109" s="565"/>
      <c r="I109" s="565"/>
      <c r="J109" s="565"/>
      <c r="K109" s="566"/>
      <c r="L109" s="234">
        <f>ROUND(H113,2)</f>
        <v>574.21</v>
      </c>
      <c r="M109" s="233" t="str">
        <f>INDEX(ORÇAMENTO!F:F,MATCH(A109,ORÇAMENTO!A:A,0))</f>
        <v>m³</v>
      </c>
      <c r="O109" s="318">
        <f>IFERROR(IF(L109="","",INDEX(ORÇAMENTO!C:C,MATCH(A109,ORÇAMENTO!A:A,0))),"")</f>
        <v>1600436</v>
      </c>
      <c r="P109" s="93" t="str">
        <f>IFERROR(IF(L109="","",INDEX(ORÇAMENTO!D:D,MATCH(A109,ORÇAMENTO!A:A,0))),"")</f>
        <v>SICRO</v>
      </c>
    </row>
    <row r="110" spans="1:16" s="71" customFormat="1" ht="30" customHeight="1">
      <c r="A110" s="187" t="s">
        <v>11</v>
      </c>
      <c r="B110" s="333"/>
      <c r="C110" s="262" t="s">
        <v>42</v>
      </c>
      <c r="D110" s="262" t="s">
        <v>41</v>
      </c>
      <c r="E110" s="262" t="s">
        <v>43</v>
      </c>
      <c r="F110" s="262" t="s">
        <v>44</v>
      </c>
      <c r="G110" s="262" t="s">
        <v>45</v>
      </c>
      <c r="H110" s="262" t="s">
        <v>46</v>
      </c>
      <c r="I110" s="18"/>
      <c r="J110" s="18"/>
      <c r="K110" s="18"/>
      <c r="L110" s="174"/>
      <c r="M110" s="18"/>
      <c r="O110" s="318"/>
      <c r="P110" s="93" t="str">
        <f>IFERROR(IF(L110="","",INDEX(ORÇAMENTO!D:D,MATCH(A110,ORÇAMENTO!A:A,0))),"")</f>
        <v/>
      </c>
    </row>
    <row r="111" spans="1:16" s="71" customFormat="1" ht="30" customHeight="1">
      <c r="A111" s="18"/>
      <c r="B111" s="335" t="s">
        <v>258</v>
      </c>
      <c r="C111" s="265">
        <v>187</v>
      </c>
      <c r="D111" s="265">
        <v>34</v>
      </c>
      <c r="E111" s="265">
        <v>7.0000000000000007E-2</v>
      </c>
      <c r="F111" s="265" t="s">
        <v>206</v>
      </c>
      <c r="G111" s="265" t="s">
        <v>206</v>
      </c>
      <c r="H111" s="265">
        <f>PRODUCT(C111:G111)</f>
        <v>445.06000000000006</v>
      </c>
      <c r="I111" s="18"/>
      <c r="J111" s="18"/>
      <c r="K111" s="18"/>
      <c r="L111" s="174"/>
      <c r="M111" s="18"/>
      <c r="O111" s="318" t="str">
        <f>IFERROR(IF(L111="","",INDEX(ORÇAMENTO!C:C,MATCH(A111,ORÇAMENTO!A:A,0))),"")</f>
        <v/>
      </c>
      <c r="P111" s="93" t="str">
        <f>IFERROR(IF(L111="","",INDEX(ORÇAMENTO!D:D,MATCH(A111,ORÇAMENTO!A:A,0))),"")</f>
        <v/>
      </c>
    </row>
    <row r="112" spans="1:16" s="158" customFormat="1" ht="30" customHeight="1">
      <c r="A112" s="18"/>
      <c r="B112" s="335" t="s">
        <v>259</v>
      </c>
      <c r="C112" s="265" t="s">
        <v>206</v>
      </c>
      <c r="D112" s="265" t="s">
        <v>206</v>
      </c>
      <c r="E112" s="265">
        <v>0.05</v>
      </c>
      <c r="F112" s="265" t="s">
        <v>206</v>
      </c>
      <c r="G112" s="265">
        <v>2583</v>
      </c>
      <c r="H112" s="265">
        <f>PRODUCT(C112:G112)</f>
        <v>129.15</v>
      </c>
      <c r="I112" s="18"/>
      <c r="J112" s="18"/>
      <c r="K112" s="18"/>
      <c r="L112" s="174"/>
      <c r="M112" s="18"/>
      <c r="O112" s="318" t="str">
        <f>IFERROR(IF(L112="","",INDEX(ORÇAMENTO!C:C,MATCH(A112,ORÇAMENTO!A:A,0))),"")</f>
        <v/>
      </c>
      <c r="P112" s="93" t="str">
        <f>IFERROR(IF(L112="","",INDEX(ORÇAMENTO!D:D,MATCH(A112,ORÇAMENTO!A:A,0))),"")</f>
        <v/>
      </c>
    </row>
    <row r="113" spans="1:16" s="71" customFormat="1">
      <c r="A113" s="18"/>
      <c r="B113" s="257"/>
      <c r="C113" s="16"/>
      <c r="D113" s="16"/>
      <c r="E113" s="19"/>
      <c r="F113" s="21"/>
      <c r="G113" s="21" t="s">
        <v>47</v>
      </c>
      <c r="H113" s="22">
        <f>SUM(H111:H112)</f>
        <v>574.21</v>
      </c>
      <c r="I113" s="19"/>
      <c r="J113" s="19"/>
      <c r="K113" s="19"/>
      <c r="L113" s="6"/>
      <c r="M113" s="19"/>
      <c r="O113" s="318" t="str">
        <f>IFERROR(IF(L113="","",INDEX(ORÇAMENTO!C:C,MATCH(A113,ORÇAMENTO!A:A,0))),"")</f>
        <v/>
      </c>
      <c r="P113" s="93" t="str">
        <f>IFERROR(IF(L113="","",INDEX(ORÇAMENTO!D:D,MATCH(A113,ORÇAMENTO!A:A,0))),"")</f>
        <v/>
      </c>
    </row>
    <row r="114" spans="1:16" s="158" customFormat="1" ht="35.25" customHeight="1">
      <c r="A114" s="233" t="s">
        <v>450</v>
      </c>
      <c r="B114" s="564" t="str">
        <f>INDEX(ORÇAMENTO!E:E,MATCH(A114,ORÇAMENTO!A:A,0))</f>
        <v>CARGA, MANOBRA E DESCARGA DE MATERIAL DEMOLIDO EM CAMINHÃO BASCULANTE DE de 6 m³ - CARGA  COM CARREGADEIRA DE 1,72 m³ E DESCARGA LIVRE</v>
      </c>
      <c r="C114" s="565"/>
      <c r="D114" s="565"/>
      <c r="E114" s="565"/>
      <c r="F114" s="565"/>
      <c r="G114" s="565"/>
      <c r="H114" s="565"/>
      <c r="I114" s="565"/>
      <c r="J114" s="565"/>
      <c r="K114" s="566"/>
      <c r="L114" s="234">
        <f>ROUND(J118,2)</f>
        <v>1378.1</v>
      </c>
      <c r="M114" s="233" t="str">
        <f>INDEX(ORÇAMENTO!F:F,MATCH(A114,ORÇAMENTO!A:A,0))</f>
        <v>t</v>
      </c>
      <c r="O114" s="318">
        <f>IFERROR(IF(L114="","",INDEX(ORÇAMENTO!C:C,MATCH(A114,ORÇAMENTO!A:A,0))),"")</f>
        <v>5914675</v>
      </c>
      <c r="P114" s="93" t="str">
        <f>IFERROR(IF(L114="","",INDEX(ORÇAMENTO!D:D,MATCH(A114,ORÇAMENTO!A:A,0))),"")</f>
        <v>SICRO</v>
      </c>
    </row>
    <row r="115" spans="1:16" s="158" customFormat="1" ht="38.25">
      <c r="A115" s="187" t="s">
        <v>11</v>
      </c>
      <c r="B115" s="333"/>
      <c r="C115" s="262" t="s">
        <v>42</v>
      </c>
      <c r="D115" s="262" t="s">
        <v>41</v>
      </c>
      <c r="E115" s="262" t="s">
        <v>43</v>
      </c>
      <c r="F115" s="262" t="s">
        <v>44</v>
      </c>
      <c r="G115" s="262" t="s">
        <v>45</v>
      </c>
      <c r="H115" s="262" t="s">
        <v>46</v>
      </c>
      <c r="I115" s="264" t="s">
        <v>279</v>
      </c>
      <c r="J115" s="264" t="s">
        <v>267</v>
      </c>
      <c r="K115" s="18"/>
      <c r="L115" s="174"/>
      <c r="M115" s="18"/>
      <c r="O115" s="318" t="str">
        <f>IFERROR(IF(L115="","",INDEX(ORÇAMENTO!C:C,MATCH(A115,ORÇAMENTO!A:A,0))),"")</f>
        <v/>
      </c>
      <c r="P115" s="93" t="str">
        <f>IFERROR(IF(L115="","",INDEX(ORÇAMENTO!D:D,MATCH(A115,ORÇAMENTO!A:A,0))),"")</f>
        <v/>
      </c>
    </row>
    <row r="116" spans="1:16" s="158" customFormat="1" ht="30" customHeight="1">
      <c r="A116" s="18"/>
      <c r="B116" s="335" t="s">
        <v>280</v>
      </c>
      <c r="C116" s="265">
        <f t="shared" ref="C116:E117" si="4">C111</f>
        <v>187</v>
      </c>
      <c r="D116" s="265">
        <f t="shared" si="4"/>
        <v>34</v>
      </c>
      <c r="E116" s="265">
        <f t="shared" si="4"/>
        <v>7.0000000000000007E-2</v>
      </c>
      <c r="F116" s="265" t="s">
        <v>206</v>
      </c>
      <c r="G116" s="265" t="str">
        <f>G111</f>
        <v>-</v>
      </c>
      <c r="H116" s="265">
        <f>PRODUCT(C116:G116)</f>
        <v>445.06000000000006</v>
      </c>
      <c r="I116" s="265">
        <v>2.4</v>
      </c>
      <c r="J116" s="265">
        <f>H116*I116</f>
        <v>1068.144</v>
      </c>
      <c r="K116" s="18"/>
      <c r="L116" s="174"/>
      <c r="M116" s="18"/>
      <c r="O116" s="318" t="str">
        <f>IFERROR(IF(L116="","",INDEX(ORÇAMENTO!C:C,MATCH(A116,ORÇAMENTO!A:A,0))),"")</f>
        <v/>
      </c>
      <c r="P116" s="93" t="str">
        <f>IFERROR(IF(L116="","",INDEX(ORÇAMENTO!D:D,MATCH(A116,ORÇAMENTO!A:A,0))),"")</f>
        <v/>
      </c>
    </row>
    <row r="117" spans="1:16" s="158" customFormat="1" ht="30" customHeight="1">
      <c r="A117" s="18"/>
      <c r="B117" s="335" t="s">
        <v>281</v>
      </c>
      <c r="C117" s="265" t="str">
        <f t="shared" si="4"/>
        <v>-</v>
      </c>
      <c r="D117" s="265" t="str">
        <f t="shared" si="4"/>
        <v>-</v>
      </c>
      <c r="E117" s="265">
        <f t="shared" si="4"/>
        <v>0.05</v>
      </c>
      <c r="F117" s="265" t="s">
        <v>206</v>
      </c>
      <c r="G117" s="265">
        <f>G112</f>
        <v>2583</v>
      </c>
      <c r="H117" s="265">
        <f>PRODUCT(C117:G117)</f>
        <v>129.15</v>
      </c>
      <c r="I117" s="265">
        <v>2.4</v>
      </c>
      <c r="J117" s="265">
        <f>H117*I117</f>
        <v>309.95999999999998</v>
      </c>
      <c r="K117" s="18"/>
      <c r="L117" s="174"/>
      <c r="M117" s="18"/>
      <c r="O117" s="318" t="str">
        <f>IFERROR(IF(L117="","",INDEX(ORÇAMENTO!C:C,MATCH(A117,ORÇAMENTO!A:A,0))),"")</f>
        <v/>
      </c>
      <c r="P117" s="93" t="str">
        <f>IFERROR(IF(L117="","",INDEX(ORÇAMENTO!D:D,MATCH(A117,ORÇAMENTO!A:A,0))),"")</f>
        <v/>
      </c>
    </row>
    <row r="118" spans="1:16" s="158" customFormat="1">
      <c r="A118" s="18"/>
      <c r="B118" s="257"/>
      <c r="C118" s="16"/>
      <c r="D118" s="16"/>
      <c r="E118" s="19"/>
      <c r="F118" s="21"/>
      <c r="G118" s="21"/>
      <c r="H118" s="21"/>
      <c r="I118" s="21" t="s">
        <v>47</v>
      </c>
      <c r="J118" s="22">
        <f>SUM(J116:J117)</f>
        <v>1378.104</v>
      </c>
      <c r="K118" s="19"/>
      <c r="L118" s="6"/>
      <c r="M118" s="19"/>
      <c r="O118" s="318" t="str">
        <f>IFERROR(IF(L118="","",INDEX(ORÇAMENTO!C:C,MATCH(A118,ORÇAMENTO!A:A,0))),"")</f>
        <v/>
      </c>
      <c r="P118" s="93" t="str">
        <f>IFERROR(IF(L118="","",INDEX(ORÇAMENTO!D:D,MATCH(A118,ORÇAMENTO!A:A,0))),"")</f>
        <v/>
      </c>
    </row>
    <row r="119" spans="1:16" s="158" customFormat="1" ht="35.25" customHeight="1">
      <c r="A119" s="233" t="s">
        <v>451</v>
      </c>
      <c r="B119" s="564" t="str">
        <f>INDEX(ORÇAMENTO!E:E,MATCH(A119,ORÇAMENTO!A:A,0))</f>
        <v>ESPALHAMENTO DE MATERIAL EM BOTA-FORA</v>
      </c>
      <c r="C119" s="565"/>
      <c r="D119" s="565"/>
      <c r="E119" s="565"/>
      <c r="F119" s="565"/>
      <c r="G119" s="565"/>
      <c r="H119" s="565"/>
      <c r="I119" s="565"/>
      <c r="J119" s="565"/>
      <c r="K119" s="566"/>
      <c r="L119" s="234">
        <f>ROUND(J123,2)</f>
        <v>746.47</v>
      </c>
      <c r="M119" s="233" t="str">
        <f>INDEX(ORÇAMENTO!F:F,MATCH(A119,ORÇAMENTO!A:A,0))</f>
        <v>m³</v>
      </c>
      <c r="O119" s="318">
        <f>IFERROR(IF(L119="","",INDEX(ORÇAMENTO!C:C,MATCH(A119,ORÇAMENTO!A:A,0))),"")</f>
        <v>4413942</v>
      </c>
      <c r="P119" s="93" t="str">
        <f>IFERROR(IF(L119="","",INDEX(ORÇAMENTO!D:D,MATCH(A119,ORÇAMENTO!A:A,0))),"")</f>
        <v>SICRO</v>
      </c>
    </row>
    <row r="120" spans="1:16" s="158" customFormat="1" ht="38.25">
      <c r="A120" s="187" t="s">
        <v>11</v>
      </c>
      <c r="B120" s="333"/>
      <c r="C120" s="262" t="s">
        <v>42</v>
      </c>
      <c r="D120" s="262" t="s">
        <v>41</v>
      </c>
      <c r="E120" s="262" t="s">
        <v>43</v>
      </c>
      <c r="F120" s="262" t="s">
        <v>44</v>
      </c>
      <c r="G120" s="262" t="s">
        <v>45</v>
      </c>
      <c r="H120" s="262" t="s">
        <v>46</v>
      </c>
      <c r="I120" s="263" t="s">
        <v>172</v>
      </c>
      <c r="J120" s="264" t="s">
        <v>269</v>
      </c>
      <c r="K120" s="18"/>
      <c r="L120" s="174"/>
      <c r="M120" s="18"/>
      <c r="O120" s="318" t="str">
        <f>IFERROR(IF(L120="","",INDEX(ORÇAMENTO!C:C,MATCH(A120,ORÇAMENTO!A:A,0))),"")</f>
        <v/>
      </c>
      <c r="P120" s="93" t="str">
        <f>IFERROR(IF(L120="","",INDEX(ORÇAMENTO!D:D,MATCH(A120,ORÇAMENTO!A:A,0))),"")</f>
        <v/>
      </c>
    </row>
    <row r="121" spans="1:16" s="158" customFormat="1" ht="30" customHeight="1">
      <c r="A121" s="18"/>
      <c r="B121" s="335" t="s">
        <v>282</v>
      </c>
      <c r="C121" s="265">
        <f t="shared" ref="C121:G122" si="5">C116</f>
        <v>187</v>
      </c>
      <c r="D121" s="265">
        <f t="shared" si="5"/>
        <v>34</v>
      </c>
      <c r="E121" s="265">
        <f t="shared" si="5"/>
        <v>7.0000000000000007E-2</v>
      </c>
      <c r="F121" s="265" t="str">
        <f t="shared" si="5"/>
        <v>-</v>
      </c>
      <c r="G121" s="265" t="str">
        <f t="shared" si="5"/>
        <v>-</v>
      </c>
      <c r="H121" s="265">
        <f>PRODUCT(C121:G121)</f>
        <v>445.06000000000006</v>
      </c>
      <c r="I121" s="265">
        <v>1.3</v>
      </c>
      <c r="J121" s="265">
        <f>H121*I121</f>
        <v>578.57800000000009</v>
      </c>
      <c r="K121" s="18"/>
      <c r="L121" s="174"/>
      <c r="M121" s="18"/>
      <c r="O121" s="318" t="str">
        <f>IFERROR(IF(L121="","",INDEX(ORÇAMENTO!C:C,MATCH(A121,ORÇAMENTO!A:A,0))),"")</f>
        <v/>
      </c>
      <c r="P121" s="93" t="str">
        <f>IFERROR(IF(L121="","",INDEX(ORÇAMENTO!D:D,MATCH(A121,ORÇAMENTO!A:A,0))),"")</f>
        <v/>
      </c>
    </row>
    <row r="122" spans="1:16" s="158" customFormat="1" ht="30" customHeight="1">
      <c r="A122" s="18"/>
      <c r="B122" s="335" t="s">
        <v>283</v>
      </c>
      <c r="C122" s="265" t="str">
        <f t="shared" si="5"/>
        <v>-</v>
      </c>
      <c r="D122" s="265" t="str">
        <f t="shared" si="5"/>
        <v>-</v>
      </c>
      <c r="E122" s="265">
        <f t="shared" si="5"/>
        <v>0.05</v>
      </c>
      <c r="F122" s="265" t="str">
        <f t="shared" si="5"/>
        <v>-</v>
      </c>
      <c r="G122" s="265">
        <f t="shared" si="5"/>
        <v>2583</v>
      </c>
      <c r="H122" s="265">
        <f>PRODUCT(C122:G122)</f>
        <v>129.15</v>
      </c>
      <c r="I122" s="265">
        <v>1.3</v>
      </c>
      <c r="J122" s="265">
        <f>H122*I122</f>
        <v>167.89500000000001</v>
      </c>
      <c r="K122" s="18"/>
      <c r="L122" s="174"/>
      <c r="M122" s="18"/>
      <c r="O122" s="318" t="str">
        <f>IFERROR(IF(L122="","",INDEX(ORÇAMENTO!C:C,MATCH(A122,ORÇAMENTO!A:A,0))),"")</f>
        <v/>
      </c>
      <c r="P122" s="93" t="str">
        <f>IFERROR(IF(L122="","",INDEX(ORÇAMENTO!D:D,MATCH(A122,ORÇAMENTO!A:A,0))),"")</f>
        <v/>
      </c>
    </row>
    <row r="123" spans="1:16" s="158" customFormat="1">
      <c r="A123" s="18"/>
      <c r="B123" s="257"/>
      <c r="C123" s="16"/>
      <c r="D123" s="16"/>
      <c r="E123" s="19"/>
      <c r="F123" s="21"/>
      <c r="G123" s="21"/>
      <c r="H123" s="21"/>
      <c r="I123" s="21" t="s">
        <v>47</v>
      </c>
      <c r="J123" s="22">
        <f>SUM(J121:J122)</f>
        <v>746.47300000000007</v>
      </c>
      <c r="K123" s="19"/>
      <c r="L123" s="6"/>
      <c r="M123" s="19"/>
      <c r="O123" s="318" t="str">
        <f>IFERROR(IF(L123="","",INDEX(ORÇAMENTO!C:C,MATCH(A123,ORÇAMENTO!A:A,0))),"")</f>
        <v/>
      </c>
      <c r="P123" s="93" t="str">
        <f>IFERROR(IF(L123="","",INDEX(ORÇAMENTO!D:D,MATCH(A123,ORÇAMENTO!A:A,0))),"")</f>
        <v/>
      </c>
    </row>
    <row r="124" spans="1:16" s="158" customFormat="1" ht="30" customHeight="1">
      <c r="A124" s="278" t="s">
        <v>426</v>
      </c>
      <c r="B124" s="576" t="str">
        <f>INDEX(ORÇAMENTO!E:E,MATCH(A124,ORÇAMENTO!A:A,0))</f>
        <v>CAMADAS DE ATERRO</v>
      </c>
      <c r="C124" s="577"/>
      <c r="D124" s="577"/>
      <c r="E124" s="577"/>
      <c r="F124" s="577"/>
      <c r="G124" s="577"/>
      <c r="H124" s="577"/>
      <c r="I124" s="577"/>
      <c r="J124" s="577"/>
      <c r="K124" s="577"/>
      <c r="L124" s="577"/>
      <c r="M124" s="578"/>
      <c r="O124" s="318" t="str">
        <f>IFERROR(IF(L124="","",INDEX(ORÇAMENTO!C:C,MATCH(A124,ORÇAMENTO!A:A,0))),"")</f>
        <v/>
      </c>
      <c r="P124" s="93" t="str">
        <f>IFERROR(IF(L124="","",INDEX(ORÇAMENTO!D:D,MATCH(A124,ORÇAMENTO!A:A,0))),"")</f>
        <v/>
      </c>
    </row>
    <row r="125" spans="1:16" s="71" customFormat="1" ht="30" customHeight="1">
      <c r="A125" s="233" t="s">
        <v>453</v>
      </c>
      <c r="B125" s="564" t="str">
        <f>INDEX(ORÇAMENTO!E:E,MATCH(A125,ORÇAMENTO!A:A,0))</f>
        <v>ESCAVAÇÃO, CARGA E TRANSPORTE DE MATERIAL DE 1ª CATEGORIA NA DISTÂNCIA DE 3.000 m - CAMINHO DE SERVIÇO EM LEITO NATURAL - COM ESCAVADEIRA E CAMINHÃO BASCULANTE DE 14 m³</v>
      </c>
      <c r="C125" s="565"/>
      <c r="D125" s="565"/>
      <c r="E125" s="565"/>
      <c r="F125" s="565"/>
      <c r="G125" s="565"/>
      <c r="H125" s="565"/>
      <c r="I125" s="565"/>
      <c r="J125" s="565"/>
      <c r="K125" s="566"/>
      <c r="L125" s="234">
        <f>ROUND(H132,2)</f>
        <v>8130.76</v>
      </c>
      <c r="M125" s="233" t="str">
        <f>INDEX(ORÇAMENTO!F:F,MATCH(A125,ORÇAMENTO!A:A,0))</f>
        <v>m³</v>
      </c>
      <c r="O125" s="318">
        <f>IFERROR(IF(L125="","",INDEX(ORÇAMENTO!C:C,MATCH(A125,ORÇAMENTO!A:A,0))),"")</f>
        <v>5502834</v>
      </c>
      <c r="P125" s="93" t="str">
        <f>IFERROR(IF(L125="","",INDEX(ORÇAMENTO!D:D,MATCH(A125,ORÇAMENTO!A:A,0))),"")</f>
        <v>SICRO</v>
      </c>
    </row>
    <row r="126" spans="1:16" s="71" customFormat="1" ht="38.25" customHeight="1">
      <c r="A126" s="187" t="s">
        <v>11</v>
      </c>
      <c r="B126" s="256"/>
      <c r="C126" s="60" t="s">
        <v>42</v>
      </c>
      <c r="D126" s="60" t="s">
        <v>41</v>
      </c>
      <c r="E126" s="60" t="s">
        <v>43</v>
      </c>
      <c r="F126" s="60" t="s">
        <v>44</v>
      </c>
      <c r="G126" s="60" t="s">
        <v>45</v>
      </c>
      <c r="H126" s="60" t="s">
        <v>46</v>
      </c>
      <c r="I126" s="189" t="s">
        <v>172</v>
      </c>
      <c r="J126" s="188" t="s">
        <v>269</v>
      </c>
      <c r="K126" s="18"/>
      <c r="L126" s="174"/>
      <c r="M126" s="18"/>
      <c r="O126" s="318" t="str">
        <f>IFERROR(IF(L126="","",INDEX(ORÇAMENTO!C:C,MATCH(A126,ORÇAMENTO!A:A,0))),"")</f>
        <v/>
      </c>
      <c r="P126" s="93" t="str">
        <f>IFERROR(IF(L126="","",INDEX(ORÇAMENTO!D:D,MATCH(A126,ORÇAMENTO!A:A,0))),"")</f>
        <v/>
      </c>
    </row>
    <row r="127" spans="1:16" s="71" customFormat="1" ht="30" customHeight="1">
      <c r="A127" s="18"/>
      <c r="B127" s="335" t="s">
        <v>272</v>
      </c>
      <c r="C127" s="265">
        <v>187</v>
      </c>
      <c r="D127" s="265">
        <v>34</v>
      </c>
      <c r="E127" s="265">
        <v>0.1</v>
      </c>
      <c r="F127" s="265" t="s">
        <v>206</v>
      </c>
      <c r="G127" s="265" t="s">
        <v>206</v>
      </c>
      <c r="H127" s="265">
        <f>PRODUCT(C127:G127)</f>
        <v>635.80000000000007</v>
      </c>
      <c r="I127" s="18"/>
      <c r="J127" s="18"/>
      <c r="K127" s="18"/>
      <c r="L127" s="174"/>
      <c r="M127" s="18"/>
      <c r="O127" s="318" t="str">
        <f>IFERROR(IF(L127="","",INDEX(ORÇAMENTO!C:C,MATCH(A127,ORÇAMENTO!A:A,0))),"")</f>
        <v/>
      </c>
      <c r="P127" s="93" t="str">
        <f>IFERROR(IF(L127="","",INDEX(ORÇAMENTO!D:D,MATCH(A127,ORÇAMENTO!A:A,0))),"")</f>
        <v/>
      </c>
    </row>
    <row r="128" spans="1:16" s="158" customFormat="1" ht="30" customHeight="1">
      <c r="A128" s="18"/>
      <c r="B128" s="335" t="s">
        <v>284</v>
      </c>
      <c r="C128" s="265">
        <v>187</v>
      </c>
      <c r="D128" s="265">
        <v>16.7</v>
      </c>
      <c r="E128" s="265">
        <f>0.5+0.1</f>
        <v>0.6</v>
      </c>
      <c r="F128" s="265">
        <v>1</v>
      </c>
      <c r="G128" s="265" t="s">
        <v>206</v>
      </c>
      <c r="H128" s="265">
        <f>PRODUCT(C128:G128)</f>
        <v>1873.74</v>
      </c>
      <c r="I128" s="18"/>
      <c r="J128" s="18"/>
      <c r="K128" s="18"/>
      <c r="L128" s="174"/>
      <c r="M128" s="18"/>
      <c r="O128" s="318" t="str">
        <f>IFERROR(IF(L128="","",INDEX(ORÇAMENTO!C:C,MATCH(A128,ORÇAMENTO!A:A,0))),"")</f>
        <v/>
      </c>
      <c r="P128" s="93" t="str">
        <f>IFERROR(IF(L128="","",INDEX(ORÇAMENTO!D:D,MATCH(A128,ORÇAMENTO!A:A,0))),"")</f>
        <v/>
      </c>
    </row>
    <row r="129" spans="1:16" s="158" customFormat="1" ht="30" customHeight="1">
      <c r="A129" s="18"/>
      <c r="B129" s="335" t="s">
        <v>285</v>
      </c>
      <c r="C129" s="265">
        <v>187</v>
      </c>
      <c r="D129" s="265">
        <v>8.35</v>
      </c>
      <c r="E129" s="265">
        <f>0.5+0.1</f>
        <v>0.6</v>
      </c>
      <c r="F129" s="265">
        <v>2</v>
      </c>
      <c r="G129" s="265" t="s">
        <v>206</v>
      </c>
      <c r="H129" s="265">
        <f>PRODUCT(C129:G129)</f>
        <v>1873.74</v>
      </c>
      <c r="I129" s="18"/>
      <c r="J129" s="18"/>
      <c r="K129" s="18"/>
      <c r="L129" s="174"/>
      <c r="M129" s="18"/>
      <c r="O129" s="318" t="str">
        <f>IFERROR(IF(L129="","",INDEX(ORÇAMENTO!C:C,MATCH(A129,ORÇAMENTO!A:A,0))),"")</f>
        <v/>
      </c>
      <c r="P129" s="93" t="str">
        <f>IFERROR(IF(L129="","",INDEX(ORÇAMENTO!D:D,MATCH(A129,ORÇAMENTO!A:A,0))),"")</f>
        <v/>
      </c>
    </row>
    <row r="130" spans="1:16" s="158" customFormat="1" ht="45" customHeight="1">
      <c r="A130" s="18"/>
      <c r="B130" s="335" t="s">
        <v>570</v>
      </c>
      <c r="C130" s="265">
        <v>187</v>
      </c>
      <c r="D130" s="265">
        <v>16.7</v>
      </c>
      <c r="E130" s="265">
        <v>0.6</v>
      </c>
      <c r="F130" s="265">
        <v>1</v>
      </c>
      <c r="G130" s="265" t="s">
        <v>206</v>
      </c>
      <c r="H130" s="265">
        <f>PRODUCT(C130:G130)</f>
        <v>1873.74</v>
      </c>
      <c r="I130" s="18"/>
      <c r="J130" s="18"/>
      <c r="K130" s="18"/>
      <c r="L130" s="174"/>
      <c r="M130" s="18"/>
      <c r="O130" s="318" t="str">
        <f>IFERROR(IF(L130="","",INDEX(ORÇAMENTO!C:C,MATCH(A130,ORÇAMENTO!A:A,0))),"")</f>
        <v/>
      </c>
      <c r="P130" s="93" t="str">
        <f>IFERROR(IF(L130="","",INDEX(ORÇAMENTO!D:D,MATCH(A130,ORÇAMENTO!A:A,0))),"")</f>
        <v/>
      </c>
    </row>
    <row r="131" spans="1:16" s="158" customFormat="1" ht="45" customHeight="1">
      <c r="A131" s="18"/>
      <c r="B131" s="335" t="s">
        <v>570</v>
      </c>
      <c r="C131" s="265">
        <v>187</v>
      </c>
      <c r="D131" s="265">
        <v>8.35</v>
      </c>
      <c r="E131" s="265">
        <v>0.6</v>
      </c>
      <c r="F131" s="265">
        <v>2</v>
      </c>
      <c r="G131" s="265" t="s">
        <v>206</v>
      </c>
      <c r="H131" s="265">
        <f>PRODUCT(C131:G131)</f>
        <v>1873.74</v>
      </c>
      <c r="I131" s="18"/>
      <c r="J131" s="18"/>
      <c r="K131" s="18"/>
      <c r="L131" s="174"/>
      <c r="M131" s="18"/>
      <c r="O131" s="318" t="str">
        <f>IFERROR(IF(L131="","",INDEX(ORÇAMENTO!C:C,MATCH(A131,ORÇAMENTO!A:A,0))),"")</f>
        <v/>
      </c>
      <c r="P131" s="93" t="str">
        <f>IFERROR(IF(L131="","",INDEX(ORÇAMENTO!D:D,MATCH(A131,ORÇAMENTO!A:A,0))),"")</f>
        <v/>
      </c>
    </row>
    <row r="132" spans="1:16" s="71" customFormat="1">
      <c r="A132" s="18"/>
      <c r="B132" s="257"/>
      <c r="C132" s="16"/>
      <c r="D132" s="16"/>
      <c r="E132" s="19"/>
      <c r="F132" s="21"/>
      <c r="G132" s="21" t="s">
        <v>47</v>
      </c>
      <c r="H132" s="22">
        <f>SUM(H127:H131)</f>
        <v>8130.7599999999993</v>
      </c>
      <c r="I132" s="19"/>
      <c r="J132" s="19"/>
      <c r="K132" s="19"/>
      <c r="L132" s="6"/>
      <c r="M132" s="19"/>
      <c r="O132" s="318" t="str">
        <f>IFERROR(IF(L132="","",INDEX(ORÇAMENTO!C:C,MATCH(A132,ORÇAMENTO!A:A,0))),"")</f>
        <v/>
      </c>
      <c r="P132" s="93" t="str">
        <f>IFERROR(IF(L132="","",INDEX(ORÇAMENTO!D:D,MATCH(A132,ORÇAMENTO!A:A,0))),"")</f>
        <v/>
      </c>
    </row>
    <row r="133" spans="1:16" s="158" customFormat="1" ht="35.25" customHeight="1">
      <c r="A133" s="233" t="s">
        <v>454</v>
      </c>
      <c r="B133" s="564" t="str">
        <f>INDEX(ORÇAMENTO!E:E,MATCH(A133,ORÇAMENTO!A:A,0))</f>
        <v>ESPALHAMENTO DE MATERIAL EM BOTA-FORA</v>
      </c>
      <c r="C133" s="565"/>
      <c r="D133" s="565"/>
      <c r="E133" s="565"/>
      <c r="F133" s="565"/>
      <c r="G133" s="565"/>
      <c r="H133" s="565"/>
      <c r="I133" s="565"/>
      <c r="J133" s="565"/>
      <c r="K133" s="566"/>
      <c r="L133" s="234">
        <f>ROUND(J138,2)</f>
        <v>5479.1</v>
      </c>
      <c r="M133" s="233" t="str">
        <f>INDEX(ORÇAMENTO!F:F,MATCH(A133,ORÇAMENTO!A:A,0))</f>
        <v>m³</v>
      </c>
      <c r="O133" s="318">
        <f>IFERROR(IF(L133="","",INDEX(ORÇAMENTO!C:C,MATCH(A133,ORÇAMENTO!A:A,0))),"")</f>
        <v>4413942</v>
      </c>
      <c r="P133" s="93" t="str">
        <f>IFERROR(IF(L133="","",INDEX(ORÇAMENTO!D:D,MATCH(A133,ORÇAMENTO!A:A,0))),"")</f>
        <v>SICRO</v>
      </c>
    </row>
    <row r="134" spans="1:16" s="158" customFormat="1" ht="38.25">
      <c r="A134" s="187" t="s">
        <v>11</v>
      </c>
      <c r="B134" s="256"/>
      <c r="C134" s="60" t="s">
        <v>42</v>
      </c>
      <c r="D134" s="60" t="s">
        <v>41</v>
      </c>
      <c r="E134" s="60" t="s">
        <v>43</v>
      </c>
      <c r="F134" s="60" t="s">
        <v>44</v>
      </c>
      <c r="G134" s="60" t="s">
        <v>45</v>
      </c>
      <c r="H134" s="60" t="s">
        <v>46</v>
      </c>
      <c r="I134" s="189" t="s">
        <v>172</v>
      </c>
      <c r="J134" s="188" t="s">
        <v>269</v>
      </c>
      <c r="K134" s="18"/>
      <c r="L134" s="174"/>
      <c r="M134" s="18"/>
      <c r="O134" s="318" t="str">
        <f>IFERROR(IF(L134="","",INDEX(ORÇAMENTO!C:C,MATCH(A134,ORÇAMENTO!A:A,0))),"")</f>
        <v/>
      </c>
      <c r="P134" s="93" t="str">
        <f>IFERROR(IF(L134="","",INDEX(ORÇAMENTO!D:D,MATCH(A134,ORÇAMENTO!A:A,0))),"")</f>
        <v/>
      </c>
    </row>
    <row r="135" spans="1:16" s="158" customFormat="1" ht="30" customHeight="1">
      <c r="A135" s="18"/>
      <c r="B135" s="335" t="s">
        <v>286</v>
      </c>
      <c r="C135" s="265">
        <f t="shared" ref="C135:G137" si="6">C127</f>
        <v>187</v>
      </c>
      <c r="D135" s="265">
        <f t="shared" si="6"/>
        <v>34</v>
      </c>
      <c r="E135" s="265">
        <f t="shared" si="6"/>
        <v>0.1</v>
      </c>
      <c r="F135" s="265" t="str">
        <f t="shared" si="6"/>
        <v>-</v>
      </c>
      <c r="G135" s="265" t="str">
        <f t="shared" si="6"/>
        <v>-</v>
      </c>
      <c r="H135" s="265">
        <f>PRODUCT(C135:G135)</f>
        <v>635.80000000000007</v>
      </c>
      <c r="I135" s="265">
        <v>1.25</v>
      </c>
      <c r="J135" s="265">
        <f>H135*I135</f>
        <v>794.75000000000011</v>
      </c>
      <c r="K135" s="18"/>
      <c r="L135" s="174"/>
      <c r="M135" s="18"/>
      <c r="O135" s="318" t="str">
        <f>IFERROR(IF(L135="","",INDEX(ORÇAMENTO!C:C,MATCH(A135,ORÇAMENTO!A:A,0))),"")</f>
        <v/>
      </c>
      <c r="P135" s="93" t="str">
        <f>IFERROR(IF(L135="","",INDEX(ORÇAMENTO!D:D,MATCH(A135,ORÇAMENTO!A:A,0))),"")</f>
        <v/>
      </c>
    </row>
    <row r="136" spans="1:16" s="158" customFormat="1" ht="30" customHeight="1">
      <c r="A136" s="18"/>
      <c r="B136" s="335" t="s">
        <v>287</v>
      </c>
      <c r="C136" s="265">
        <f t="shared" si="6"/>
        <v>187</v>
      </c>
      <c r="D136" s="265">
        <f t="shared" si="6"/>
        <v>16.7</v>
      </c>
      <c r="E136" s="265">
        <f t="shared" si="6"/>
        <v>0.6</v>
      </c>
      <c r="F136" s="265">
        <f t="shared" si="6"/>
        <v>1</v>
      </c>
      <c r="G136" s="265" t="str">
        <f t="shared" si="6"/>
        <v>-</v>
      </c>
      <c r="H136" s="265">
        <f>PRODUCT(C136:G136)</f>
        <v>1873.74</v>
      </c>
      <c r="I136" s="265">
        <v>1.25</v>
      </c>
      <c r="J136" s="265">
        <f>H136*I136</f>
        <v>2342.1750000000002</v>
      </c>
      <c r="K136" s="18"/>
      <c r="L136" s="174"/>
      <c r="M136" s="18"/>
      <c r="O136" s="318" t="str">
        <f>IFERROR(IF(L136="","",INDEX(ORÇAMENTO!C:C,MATCH(A136,ORÇAMENTO!A:A,0))),"")</f>
        <v/>
      </c>
      <c r="P136" s="93" t="str">
        <f>IFERROR(IF(L136="","",INDEX(ORÇAMENTO!D:D,MATCH(A136,ORÇAMENTO!A:A,0))),"")</f>
        <v/>
      </c>
    </row>
    <row r="137" spans="1:16" s="158" customFormat="1" ht="45" customHeight="1">
      <c r="A137" s="18"/>
      <c r="B137" s="335" t="s">
        <v>288</v>
      </c>
      <c r="C137" s="265">
        <f t="shared" si="6"/>
        <v>187</v>
      </c>
      <c r="D137" s="265">
        <f t="shared" si="6"/>
        <v>8.35</v>
      </c>
      <c r="E137" s="265">
        <f t="shared" si="6"/>
        <v>0.6</v>
      </c>
      <c r="F137" s="265">
        <f t="shared" si="6"/>
        <v>2</v>
      </c>
      <c r="G137" s="265" t="str">
        <f t="shared" si="6"/>
        <v>-</v>
      </c>
      <c r="H137" s="265">
        <f>PRODUCT(C137:G137)</f>
        <v>1873.74</v>
      </c>
      <c r="I137" s="265">
        <v>1.25</v>
      </c>
      <c r="J137" s="265">
        <f>H137*I137</f>
        <v>2342.1750000000002</v>
      </c>
      <c r="K137" s="18"/>
      <c r="L137" s="174"/>
      <c r="M137" s="18"/>
      <c r="O137" s="318" t="str">
        <f>IFERROR(IF(L137="","",INDEX(ORÇAMENTO!C:C,MATCH(A137,ORÇAMENTO!A:A,0))),"")</f>
        <v/>
      </c>
      <c r="P137" s="93" t="str">
        <f>IFERROR(IF(L137="","",INDEX(ORÇAMENTO!D:D,MATCH(A137,ORÇAMENTO!A:A,0))),"")</f>
        <v/>
      </c>
    </row>
    <row r="138" spans="1:16" s="158" customFormat="1">
      <c r="A138" s="18"/>
      <c r="B138" s="257"/>
      <c r="C138" s="16"/>
      <c r="D138" s="16"/>
      <c r="E138" s="19"/>
      <c r="F138" s="21"/>
      <c r="G138" s="21"/>
      <c r="H138" s="21"/>
      <c r="I138" s="21" t="s">
        <v>47</v>
      </c>
      <c r="J138" s="22">
        <f>SUM(J135:J137)</f>
        <v>5479.1</v>
      </c>
      <c r="K138" s="19"/>
      <c r="L138" s="6"/>
      <c r="M138" s="19"/>
      <c r="O138" s="318" t="str">
        <f>IFERROR(IF(L138="","",INDEX(ORÇAMENTO!C:C,MATCH(A138,ORÇAMENTO!A:A,0))),"")</f>
        <v/>
      </c>
      <c r="P138" s="93" t="str">
        <f>IFERROR(IF(L138="","",INDEX(ORÇAMENTO!D:D,MATCH(A138,ORÇAMENTO!A:A,0))),"")</f>
        <v/>
      </c>
    </row>
    <row r="139" spans="1:16" s="158" customFormat="1" ht="30" customHeight="1">
      <c r="A139" s="233" t="s">
        <v>455</v>
      </c>
      <c r="B139" s="564" t="str">
        <f>INDEX(ORÇAMENTO!E:E,MATCH(A139,ORÇAMENTO!A:A,0))</f>
        <v>COMPACTAÇÃO DE ATERROS A 100% DO PROCTOR NORMAL</v>
      </c>
      <c r="C139" s="565"/>
      <c r="D139" s="565"/>
      <c r="E139" s="565"/>
      <c r="F139" s="565"/>
      <c r="G139" s="565"/>
      <c r="H139" s="565"/>
      <c r="I139" s="565"/>
      <c r="J139" s="565"/>
      <c r="K139" s="566"/>
      <c r="L139" s="234">
        <f>ROUND(J143,2)</f>
        <v>4684.3500000000004</v>
      </c>
      <c r="M139" s="233" t="str">
        <f>INDEX(ORÇAMENTO!F:F,MATCH(A139,ORÇAMENTO!A:A,0))</f>
        <v>m³</v>
      </c>
      <c r="O139" s="318">
        <f>IFERROR(IF(L139="","",INDEX(ORÇAMENTO!C:C,MATCH(A139,ORÇAMENTO!A:A,0))),"")</f>
        <v>5502978</v>
      </c>
      <c r="P139" s="93" t="str">
        <f>IFERROR(IF(L139="","",INDEX(ORÇAMENTO!D:D,MATCH(A139,ORÇAMENTO!A:A,0))),"")</f>
        <v>SICRO</v>
      </c>
    </row>
    <row r="140" spans="1:16" s="158" customFormat="1" ht="38.25">
      <c r="A140" s="187" t="s">
        <v>11</v>
      </c>
      <c r="B140" s="256"/>
      <c r="C140" s="60" t="s">
        <v>42</v>
      </c>
      <c r="D140" s="60" t="s">
        <v>41</v>
      </c>
      <c r="E140" s="60" t="s">
        <v>43</v>
      </c>
      <c r="F140" s="60" t="s">
        <v>44</v>
      </c>
      <c r="G140" s="60" t="s">
        <v>45</v>
      </c>
      <c r="H140" s="60" t="s">
        <v>46</v>
      </c>
      <c r="I140" s="189" t="s">
        <v>172</v>
      </c>
      <c r="J140" s="188" t="s">
        <v>269</v>
      </c>
      <c r="K140" s="18"/>
      <c r="L140" s="174"/>
      <c r="M140" s="18"/>
      <c r="O140" s="318" t="str">
        <f>IFERROR(IF(L140="","",INDEX(ORÇAMENTO!C:C,MATCH(A140,ORÇAMENTO!A:A,0))),"")</f>
        <v/>
      </c>
      <c r="P140" s="93" t="str">
        <f>IFERROR(IF(L140="","",INDEX(ORÇAMENTO!D:D,MATCH(A140,ORÇAMENTO!A:A,0))),"")</f>
        <v/>
      </c>
    </row>
    <row r="141" spans="1:16" s="158" customFormat="1" ht="30" customHeight="1">
      <c r="A141" s="18"/>
      <c r="B141" s="335" t="s">
        <v>289</v>
      </c>
      <c r="C141" s="265">
        <v>187</v>
      </c>
      <c r="D141" s="265">
        <v>16.7</v>
      </c>
      <c r="E141" s="265">
        <v>0.6</v>
      </c>
      <c r="F141" s="265">
        <v>1</v>
      </c>
      <c r="G141" s="265" t="s">
        <v>206</v>
      </c>
      <c r="H141" s="265">
        <f>PRODUCT(C141:G141)</f>
        <v>1873.74</v>
      </c>
      <c r="I141" s="265">
        <v>1.25</v>
      </c>
      <c r="J141" s="265">
        <f>H141*I141</f>
        <v>2342.1750000000002</v>
      </c>
      <c r="K141" s="18"/>
      <c r="L141" s="174"/>
      <c r="M141" s="18"/>
      <c r="O141" s="318" t="str">
        <f>IFERROR(IF(L141="","",INDEX(ORÇAMENTO!C:C,MATCH(A141,ORÇAMENTO!A:A,0))),"")</f>
        <v/>
      </c>
      <c r="P141" s="93" t="str">
        <f>IFERROR(IF(L141="","",INDEX(ORÇAMENTO!D:D,MATCH(A141,ORÇAMENTO!A:A,0))),"")</f>
        <v/>
      </c>
    </row>
    <row r="142" spans="1:16" s="158" customFormat="1" ht="30" customHeight="1">
      <c r="A142" s="18"/>
      <c r="B142" s="335" t="s">
        <v>290</v>
      </c>
      <c r="C142" s="265">
        <v>187</v>
      </c>
      <c r="D142" s="265">
        <v>8.35</v>
      </c>
      <c r="E142" s="265">
        <v>0.6</v>
      </c>
      <c r="F142" s="265">
        <v>2</v>
      </c>
      <c r="G142" s="265" t="s">
        <v>206</v>
      </c>
      <c r="H142" s="265">
        <f>PRODUCT(C142:G142)</f>
        <v>1873.74</v>
      </c>
      <c r="I142" s="265">
        <v>1.25</v>
      </c>
      <c r="J142" s="265">
        <f>H142*I142</f>
        <v>2342.1750000000002</v>
      </c>
      <c r="K142" s="18"/>
      <c r="L142" s="174"/>
      <c r="M142" s="18"/>
      <c r="O142" s="318" t="str">
        <f>IFERROR(IF(L142="","",INDEX(ORÇAMENTO!C:C,MATCH(A142,ORÇAMENTO!A:A,0))),"")</f>
        <v/>
      </c>
      <c r="P142" s="93" t="str">
        <f>IFERROR(IF(L142="","",INDEX(ORÇAMENTO!D:D,MATCH(A142,ORÇAMENTO!A:A,0))),"")</f>
        <v/>
      </c>
    </row>
    <row r="143" spans="1:16" s="158" customFormat="1">
      <c r="A143" s="18"/>
      <c r="B143" s="257"/>
      <c r="C143" s="16"/>
      <c r="D143" s="16"/>
      <c r="E143" s="19"/>
      <c r="F143" s="21"/>
      <c r="G143" s="21"/>
      <c r="H143" s="21"/>
      <c r="I143" s="21" t="s">
        <v>47</v>
      </c>
      <c r="J143" s="22">
        <f>SUM(J141:J142)</f>
        <v>4684.3500000000004</v>
      </c>
      <c r="K143" s="19"/>
      <c r="L143" s="6"/>
      <c r="M143" s="19"/>
      <c r="O143" s="318" t="str">
        <f>IFERROR(IF(L143="","",INDEX(ORÇAMENTO!C:C,MATCH(A143,ORÇAMENTO!A:A,0))),"")</f>
        <v/>
      </c>
      <c r="P143" s="93" t="str">
        <f>IFERROR(IF(L143="","",INDEX(ORÇAMENTO!D:D,MATCH(A143,ORÇAMENTO!A:A,0))),"")</f>
        <v/>
      </c>
    </row>
    <row r="144" spans="1:16" s="158" customFormat="1" ht="30" customHeight="1">
      <c r="A144" s="233" t="s">
        <v>456</v>
      </c>
      <c r="B144" s="564" t="str">
        <f>INDEX(ORÇAMENTO!E:E,MATCH(A144,ORÇAMENTO!A:A,0))</f>
        <v>REGULARIZACAO DE SUPERFÍCIE COM MOTONIVELADORA</v>
      </c>
      <c r="C144" s="565"/>
      <c r="D144" s="565"/>
      <c r="E144" s="565"/>
      <c r="F144" s="565"/>
      <c r="G144" s="565"/>
      <c r="H144" s="565"/>
      <c r="I144" s="565"/>
      <c r="J144" s="565"/>
      <c r="K144" s="566"/>
      <c r="L144" s="234">
        <f>ROUND(G147,2)</f>
        <v>6358</v>
      </c>
      <c r="M144" s="233" t="str">
        <f>INDEX(ORÇAMENTO!F:F,MATCH(A144,ORÇAMENTO!A:A,0))</f>
        <v>m²</v>
      </c>
      <c r="O144" s="318">
        <f>IFERROR(IF(L144="","",INDEX(ORÇAMENTO!C:C,MATCH(A144,ORÇAMENTO!A:A,0))),"")</f>
        <v>4413986</v>
      </c>
      <c r="P144" s="93" t="str">
        <f>IFERROR(IF(L144="","",INDEX(ORÇAMENTO!D:D,MATCH(A144,ORÇAMENTO!A:A,0))),"")</f>
        <v>SICRO</v>
      </c>
    </row>
    <row r="145" spans="1:16" s="158" customFormat="1" ht="30" customHeight="1">
      <c r="A145" s="187" t="s">
        <v>11</v>
      </c>
      <c r="B145" s="256"/>
      <c r="C145" s="60" t="s">
        <v>42</v>
      </c>
      <c r="D145" s="60" t="s">
        <v>41</v>
      </c>
      <c r="E145" s="60" t="s">
        <v>43</v>
      </c>
      <c r="F145" s="60" t="s">
        <v>44</v>
      </c>
      <c r="G145" s="60" t="s">
        <v>45</v>
      </c>
      <c r="H145" s="60"/>
      <c r="I145" s="189"/>
      <c r="J145" s="188"/>
      <c r="K145" s="18"/>
      <c r="L145" s="174"/>
      <c r="M145" s="18"/>
      <c r="O145" s="318" t="str">
        <f>IFERROR(IF(L145="","",INDEX(ORÇAMENTO!C:C,MATCH(A145,ORÇAMENTO!A:A,0))),"")</f>
        <v/>
      </c>
      <c r="P145" s="93" t="str">
        <f>IFERROR(IF(L145="","",INDEX(ORÇAMENTO!D:D,MATCH(A145,ORÇAMENTO!A:A,0))),"")</f>
        <v/>
      </c>
    </row>
    <row r="146" spans="1:16" s="158" customFormat="1" ht="30" customHeight="1">
      <c r="A146" s="18"/>
      <c r="B146" s="335" t="s">
        <v>291</v>
      </c>
      <c r="C146" s="265">
        <f>C111</f>
        <v>187</v>
      </c>
      <c r="D146" s="265">
        <f>D111</f>
        <v>34</v>
      </c>
      <c r="E146" s="265" t="s">
        <v>206</v>
      </c>
      <c r="F146" s="265" t="s">
        <v>206</v>
      </c>
      <c r="G146" s="265">
        <f>PRODUCT(C146:F146)</f>
        <v>6358</v>
      </c>
      <c r="H146" s="20"/>
      <c r="I146" s="20"/>
      <c r="J146" s="20"/>
      <c r="K146" s="18"/>
      <c r="L146" s="174"/>
      <c r="M146" s="18"/>
      <c r="O146" s="318" t="str">
        <f>IFERROR(IF(L146="","",INDEX(ORÇAMENTO!C:C,MATCH(A146,ORÇAMENTO!A:A,0))),"")</f>
        <v/>
      </c>
      <c r="P146" s="93" t="str">
        <f>IFERROR(IF(L146="","",INDEX(ORÇAMENTO!D:D,MATCH(A146,ORÇAMENTO!A:A,0))),"")</f>
        <v/>
      </c>
    </row>
    <row r="147" spans="1:16" s="158" customFormat="1">
      <c r="A147" s="18"/>
      <c r="B147" s="257"/>
      <c r="C147" s="16"/>
      <c r="D147" s="16"/>
      <c r="E147" s="19"/>
      <c r="F147" s="21" t="s">
        <v>47</v>
      </c>
      <c r="G147" s="22">
        <f>SUM(G146:G146)</f>
        <v>6358</v>
      </c>
      <c r="H147" s="21"/>
      <c r="I147" s="21"/>
      <c r="J147" s="22"/>
      <c r="K147" s="19"/>
      <c r="L147" s="6"/>
      <c r="M147" s="19"/>
      <c r="O147" s="318" t="str">
        <f>IFERROR(IF(L147="","",INDEX(ORÇAMENTO!C:C,MATCH(A147,ORÇAMENTO!A:A,0))),"")</f>
        <v/>
      </c>
      <c r="P147" s="93" t="str">
        <f>IFERROR(IF(L147="","",INDEX(ORÇAMENTO!D:D,MATCH(A147,ORÇAMENTO!A:A,0))),"")</f>
        <v/>
      </c>
    </row>
    <row r="148" spans="1:16" s="158" customFormat="1" ht="30" customHeight="1">
      <c r="A148" s="233" t="s">
        <v>457</v>
      </c>
      <c r="B148" s="564" t="str">
        <f>INDEX(ORÇAMENTO!E:E,MATCH(A148,ORÇAMENTO!A:A,0))</f>
        <v>EXPURGO DE JAZIDA</v>
      </c>
      <c r="C148" s="565"/>
      <c r="D148" s="565"/>
      <c r="E148" s="565"/>
      <c r="F148" s="565"/>
      <c r="G148" s="565"/>
      <c r="H148" s="565"/>
      <c r="I148" s="565"/>
      <c r="J148" s="565"/>
      <c r="K148" s="566"/>
      <c r="L148" s="234">
        <f>ROUND(H151,2)</f>
        <v>1000</v>
      </c>
      <c r="M148" s="233" t="str">
        <f>INDEX(ORÇAMENTO!F:F,MATCH(A148,ORÇAMENTO!A:A,0))</f>
        <v>m³</v>
      </c>
      <c r="O148" s="318">
        <f>IFERROR(IF(L148="","",INDEX(ORÇAMENTO!C:C,MATCH(A148,ORÇAMENTO!A:A,0))),"")</f>
        <v>5502986</v>
      </c>
      <c r="P148" s="93" t="str">
        <f>IFERROR(IF(L148="","",INDEX(ORÇAMENTO!D:D,MATCH(A148,ORÇAMENTO!A:A,0))),"")</f>
        <v>SICRO</v>
      </c>
    </row>
    <row r="149" spans="1:16" s="158" customFormat="1" ht="38.25">
      <c r="A149" s="187" t="s">
        <v>11</v>
      </c>
      <c r="B149" s="256"/>
      <c r="C149" s="60" t="s">
        <v>42</v>
      </c>
      <c r="D149" s="60" t="s">
        <v>41</v>
      </c>
      <c r="E149" s="60" t="s">
        <v>43</v>
      </c>
      <c r="F149" s="60" t="s">
        <v>44</v>
      </c>
      <c r="G149" s="60" t="s">
        <v>45</v>
      </c>
      <c r="H149" s="60" t="s">
        <v>46</v>
      </c>
      <c r="I149" s="189" t="s">
        <v>172</v>
      </c>
      <c r="J149" s="188" t="s">
        <v>269</v>
      </c>
      <c r="K149" s="18"/>
      <c r="L149" s="174"/>
      <c r="M149" s="18"/>
      <c r="O149" s="318" t="str">
        <f>IFERROR(IF(L149="","",INDEX(ORÇAMENTO!C:C,MATCH(A149,ORÇAMENTO!A:A,0))),"")</f>
        <v/>
      </c>
      <c r="P149" s="93" t="str">
        <f>IFERROR(IF(L149="","",INDEX(ORÇAMENTO!D:D,MATCH(A149,ORÇAMENTO!A:A,0))),"")</f>
        <v/>
      </c>
    </row>
    <row r="150" spans="1:16" s="158" customFormat="1" ht="30" customHeight="1">
      <c r="A150" s="18"/>
      <c r="B150" s="335" t="s">
        <v>640</v>
      </c>
      <c r="C150" s="265">
        <v>100</v>
      </c>
      <c r="D150" s="265">
        <v>100</v>
      </c>
      <c r="E150" s="265">
        <v>0.1</v>
      </c>
      <c r="F150" s="265">
        <v>1</v>
      </c>
      <c r="G150" s="265" t="s">
        <v>206</v>
      </c>
      <c r="H150" s="265">
        <f>PRODUCT(C150:G150)</f>
        <v>1000</v>
      </c>
      <c r="I150" s="18"/>
      <c r="J150" s="18"/>
      <c r="K150" s="18"/>
      <c r="L150" s="174"/>
      <c r="M150" s="18"/>
      <c r="O150" s="318" t="str">
        <f>IFERROR(IF(L150="","",INDEX(ORÇAMENTO!C:C,MATCH(A150,ORÇAMENTO!A:A,0))),"")</f>
        <v/>
      </c>
      <c r="P150" s="93" t="str">
        <f>IFERROR(IF(L150="","",INDEX(ORÇAMENTO!D:D,MATCH(A150,ORÇAMENTO!A:A,0))),"")</f>
        <v/>
      </c>
    </row>
    <row r="151" spans="1:16" s="158" customFormat="1">
      <c r="A151" s="18"/>
      <c r="B151" s="257"/>
      <c r="C151" s="16"/>
      <c r="D151" s="16"/>
      <c r="E151" s="19"/>
      <c r="F151" s="21"/>
      <c r="G151" s="21" t="s">
        <v>47</v>
      </c>
      <c r="H151" s="22">
        <f>SUM(H150:H150)</f>
        <v>1000</v>
      </c>
      <c r="I151" s="19"/>
      <c r="J151" s="19"/>
      <c r="K151" s="19"/>
      <c r="L151" s="6"/>
      <c r="M151" s="19"/>
      <c r="O151" s="318" t="str">
        <f>IFERROR(IF(L151="","",INDEX(ORÇAMENTO!C:C,MATCH(A151,ORÇAMENTO!A:A,0))),"")</f>
        <v/>
      </c>
      <c r="P151" s="93" t="str">
        <f>IFERROR(IF(L151="","",INDEX(ORÇAMENTO!D:D,MATCH(A151,ORÇAMENTO!A:A,0))),"")</f>
        <v/>
      </c>
    </row>
    <row r="152" spans="1:16" s="158" customFormat="1" ht="30" customHeight="1">
      <c r="A152" s="278" t="s">
        <v>427</v>
      </c>
      <c r="B152" s="576" t="str">
        <f>INDEX(ORÇAMENTO!E:E,MATCH(A152,ORÇAMENTO!A:A,0))</f>
        <v>DRENAGEM SUBSUPERFICIAL</v>
      </c>
      <c r="C152" s="577"/>
      <c r="D152" s="577"/>
      <c r="E152" s="577"/>
      <c r="F152" s="577"/>
      <c r="G152" s="577"/>
      <c r="H152" s="577"/>
      <c r="I152" s="577"/>
      <c r="J152" s="577"/>
      <c r="K152" s="577"/>
      <c r="L152" s="577"/>
      <c r="M152" s="578"/>
      <c r="O152" s="318" t="str">
        <f>IFERROR(IF(L152="","",INDEX(ORÇAMENTO!C:C,MATCH(A152,ORÇAMENTO!A:A,0))),"")</f>
        <v/>
      </c>
      <c r="P152" s="93" t="str">
        <f>IFERROR(IF(L152="","",INDEX(ORÇAMENTO!D:D,MATCH(A152,ORÇAMENTO!A:A,0))),"")</f>
        <v/>
      </c>
    </row>
    <row r="153" spans="1:16" s="158" customFormat="1" ht="30" customHeight="1">
      <c r="A153" s="233" t="s">
        <v>458</v>
      </c>
      <c r="B153" s="564" t="str">
        <f>INDEX(ORÇAMENTO!E:E,MATCH(A153,ORÇAMENTO!A:A,0))</f>
        <v>ESCAVAÇÃO MANUAL DE VALA EM MATERIAL DE 1ª CATEGORIA</v>
      </c>
      <c r="C153" s="565"/>
      <c r="D153" s="565"/>
      <c r="E153" s="565"/>
      <c r="F153" s="565"/>
      <c r="G153" s="565"/>
      <c r="H153" s="565"/>
      <c r="I153" s="565"/>
      <c r="J153" s="565"/>
      <c r="K153" s="566"/>
      <c r="L153" s="234">
        <f>ROUND(H160,2)</f>
        <v>295.5</v>
      </c>
      <c r="M153" s="233" t="str">
        <f>INDEX(ORÇAMENTO!F:F,MATCH(A153,ORÇAMENTO!A:A,0))</f>
        <v>m³</v>
      </c>
      <c r="O153" s="318">
        <f>IFERROR(IF(L153="","",INDEX(ORÇAMENTO!C:C,MATCH(A153,ORÇAMENTO!A:A,0))),"")</f>
        <v>4805749</v>
      </c>
      <c r="P153" s="93" t="str">
        <f>IFERROR(IF(L153="","",INDEX(ORÇAMENTO!D:D,MATCH(A153,ORÇAMENTO!A:A,0))),"")</f>
        <v>SICRO</v>
      </c>
    </row>
    <row r="154" spans="1:16" s="158" customFormat="1" ht="30" customHeight="1">
      <c r="A154" s="187" t="s">
        <v>11</v>
      </c>
      <c r="B154" s="256"/>
      <c r="C154" s="60" t="s">
        <v>42</v>
      </c>
      <c r="D154" s="60" t="s">
        <v>41</v>
      </c>
      <c r="E154" s="60" t="s">
        <v>43</v>
      </c>
      <c r="F154" s="60" t="s">
        <v>44</v>
      </c>
      <c r="G154" s="60" t="s">
        <v>45</v>
      </c>
      <c r="H154" s="60" t="s">
        <v>46</v>
      </c>
      <c r="I154" s="18"/>
      <c r="J154" s="18"/>
      <c r="K154" s="18"/>
      <c r="L154" s="174"/>
      <c r="M154" s="18"/>
      <c r="O154" s="318" t="str">
        <f>IFERROR(IF(L154="","",INDEX(ORÇAMENTO!C:C,MATCH(A154,ORÇAMENTO!A:A,0))),"")</f>
        <v/>
      </c>
      <c r="P154" s="93" t="str">
        <f>IFERROR(IF(L154="","",INDEX(ORÇAMENTO!D:D,MATCH(A154,ORÇAMENTO!A:A,0))),"")</f>
        <v/>
      </c>
    </row>
    <row r="155" spans="1:16" s="158" customFormat="1" ht="30" customHeight="1">
      <c r="A155" s="18"/>
      <c r="B155" s="335" t="s">
        <v>571</v>
      </c>
      <c r="C155" s="265">
        <v>187</v>
      </c>
      <c r="D155" s="265">
        <v>0.5</v>
      </c>
      <c r="E155" s="265">
        <v>0.5</v>
      </c>
      <c r="F155" s="265">
        <v>2</v>
      </c>
      <c r="G155" s="265" t="s">
        <v>206</v>
      </c>
      <c r="H155" s="20">
        <f>PRODUCT(C155:G155)</f>
        <v>93.5</v>
      </c>
      <c r="I155" s="18"/>
      <c r="J155" s="18"/>
      <c r="K155" s="18"/>
      <c r="L155" s="174"/>
      <c r="M155" s="18"/>
      <c r="O155" s="318" t="str">
        <f>IFERROR(IF(L155="","",INDEX(ORÇAMENTO!C:C,MATCH(A155,ORÇAMENTO!A:A,0))),"")</f>
        <v/>
      </c>
      <c r="P155" s="93" t="str">
        <f>IFERROR(IF(L155="","",INDEX(ORÇAMENTO!D:D,MATCH(A155,ORÇAMENTO!A:A,0))),"")</f>
        <v/>
      </c>
    </row>
    <row r="156" spans="1:16" s="158" customFormat="1" ht="30" customHeight="1">
      <c r="A156" s="18"/>
      <c r="B156" s="335" t="s">
        <v>573</v>
      </c>
      <c r="C156" s="265">
        <v>40</v>
      </c>
      <c r="D156" s="265">
        <v>0.5</v>
      </c>
      <c r="E156" s="265">
        <v>0.5</v>
      </c>
      <c r="F156" s="265">
        <v>1</v>
      </c>
      <c r="G156" s="265" t="s">
        <v>206</v>
      </c>
      <c r="H156" s="20">
        <f>PRODUCT(C156:G156)</f>
        <v>10</v>
      </c>
      <c r="I156" s="18"/>
      <c r="J156" s="18"/>
      <c r="K156" s="18"/>
      <c r="L156" s="174"/>
      <c r="M156" s="18"/>
      <c r="O156" s="318" t="str">
        <f>IFERROR(IF(L156="","",INDEX(ORÇAMENTO!C:C,MATCH(A156,ORÇAMENTO!A:A,0))),"")</f>
        <v/>
      </c>
      <c r="P156" s="93" t="str">
        <f>IFERROR(IF(L156="","",INDEX(ORÇAMENTO!D:D,MATCH(A156,ORÇAMENTO!A:A,0))),"")</f>
        <v/>
      </c>
    </row>
    <row r="157" spans="1:16" s="158" customFormat="1" ht="30" customHeight="1">
      <c r="A157" s="18"/>
      <c r="B157" s="335" t="s">
        <v>602</v>
      </c>
      <c r="C157" s="265">
        <v>10</v>
      </c>
      <c r="D157" s="265">
        <v>1</v>
      </c>
      <c r="E157" s="265">
        <v>6</v>
      </c>
      <c r="F157" s="265">
        <v>1</v>
      </c>
      <c r="G157" s="265" t="s">
        <v>206</v>
      </c>
      <c r="H157" s="20">
        <f>PRODUCT(C157:G157)</f>
        <v>60</v>
      </c>
      <c r="I157" s="18"/>
      <c r="J157" s="18"/>
      <c r="K157" s="18"/>
      <c r="L157" s="174"/>
      <c r="M157" s="18"/>
      <c r="O157" s="318" t="str">
        <f>IFERROR(IF(L157="","",INDEX(ORÇAMENTO!C:C,MATCH(A157,ORÇAMENTO!A:A,0))),"")</f>
        <v/>
      </c>
      <c r="P157" s="93" t="str">
        <f>IFERROR(IF(L157="","",INDEX(ORÇAMENTO!D:D,MATCH(A157,ORÇAMENTO!A:A,0))),"")</f>
        <v/>
      </c>
    </row>
    <row r="158" spans="1:16" s="158" customFormat="1" ht="30" customHeight="1">
      <c r="A158" s="18"/>
      <c r="B158" s="335" t="s">
        <v>604</v>
      </c>
      <c r="C158" s="265">
        <v>72</v>
      </c>
      <c r="D158" s="265">
        <v>1</v>
      </c>
      <c r="E158" s="265">
        <v>1</v>
      </c>
      <c r="F158" s="265">
        <v>1</v>
      </c>
      <c r="G158" s="265" t="s">
        <v>206</v>
      </c>
      <c r="H158" s="20">
        <f>PRODUCT(C158:G158)</f>
        <v>72</v>
      </c>
      <c r="I158" s="18"/>
      <c r="J158" s="18"/>
      <c r="K158" s="18"/>
      <c r="L158" s="174"/>
      <c r="M158" s="18"/>
      <c r="O158" s="318" t="str">
        <f>IFERROR(IF(L158="","",INDEX(ORÇAMENTO!C:C,MATCH(A158,ORÇAMENTO!A:A,0))),"")</f>
        <v/>
      </c>
      <c r="P158" s="93" t="str">
        <f>IFERROR(IF(L158="","",INDEX(ORÇAMENTO!D:D,MATCH(A158,ORÇAMENTO!A:A,0))),"")</f>
        <v/>
      </c>
    </row>
    <row r="159" spans="1:16" s="158" customFormat="1" ht="30" customHeight="1">
      <c r="A159" s="18"/>
      <c r="B159" s="335" t="s">
        <v>641</v>
      </c>
      <c r="C159" s="265">
        <v>10</v>
      </c>
      <c r="D159" s="265">
        <v>1</v>
      </c>
      <c r="E159" s="265">
        <v>6</v>
      </c>
      <c r="F159" s="265">
        <v>1</v>
      </c>
      <c r="G159" s="265" t="s">
        <v>206</v>
      </c>
      <c r="H159" s="20">
        <f>PRODUCT(C159:G159)</f>
        <v>60</v>
      </c>
      <c r="I159" s="18"/>
      <c r="J159" s="18"/>
      <c r="K159" s="18"/>
      <c r="L159" s="174"/>
      <c r="M159" s="18"/>
      <c r="O159" s="318" t="str">
        <f>IFERROR(IF(L159="","",INDEX(ORÇAMENTO!C:C,MATCH(A159,ORÇAMENTO!A:A,0))),"")</f>
        <v/>
      </c>
      <c r="P159" s="93" t="str">
        <f>IFERROR(IF(L159="","",INDEX(ORÇAMENTO!D:D,MATCH(A159,ORÇAMENTO!A:A,0))),"")</f>
        <v/>
      </c>
    </row>
    <row r="160" spans="1:16" s="158" customFormat="1">
      <c r="A160" s="18"/>
      <c r="B160" s="257"/>
      <c r="C160" s="16"/>
      <c r="D160" s="16"/>
      <c r="E160" s="19"/>
      <c r="F160" s="21"/>
      <c r="G160" s="21" t="s">
        <v>47</v>
      </c>
      <c r="H160" s="22">
        <f>SUM(H155:H159)</f>
        <v>295.5</v>
      </c>
      <c r="I160" s="19"/>
      <c r="J160" s="19"/>
      <c r="K160" s="19"/>
      <c r="L160" s="6"/>
      <c r="M160" s="19"/>
      <c r="O160" s="318" t="str">
        <f>IFERROR(IF(L160="","",INDEX(ORÇAMENTO!C:C,MATCH(A160,ORÇAMENTO!A:A,0))),"")</f>
        <v/>
      </c>
      <c r="P160" s="93" t="str">
        <f>IFERROR(IF(L160="","",INDEX(ORÇAMENTO!D:D,MATCH(A160,ORÇAMENTO!A:A,0))),"")</f>
        <v/>
      </c>
    </row>
    <row r="161" spans="1:16" s="158" customFormat="1" ht="35.25" customHeight="1">
      <c r="A161" s="233" t="s">
        <v>459</v>
      </c>
      <c r="B161" s="564" t="str">
        <f>INDEX(ORÇAMENTO!E:E,MATCH(A161,ORÇAMENTO!A:A,0))</f>
        <v>CARGA, MANOBRA E DESCARGA DE MATERIAL DEMOLIDO EM CAMINHÃO BASCULANTE DE de 6 m³ - CARGA  COM CARREGADEIRA DE 1,72 m³ E DESCARGA LIVRE</v>
      </c>
      <c r="C161" s="565"/>
      <c r="D161" s="565"/>
      <c r="E161" s="565"/>
      <c r="F161" s="565"/>
      <c r="G161" s="565"/>
      <c r="H161" s="565"/>
      <c r="I161" s="565"/>
      <c r="J161" s="565"/>
      <c r="K161" s="566"/>
      <c r="L161" s="234">
        <f>ROUND(J164,2)</f>
        <v>531.9</v>
      </c>
      <c r="M161" s="233" t="str">
        <f>INDEX(ORÇAMENTO!F:F,MATCH(A161,ORÇAMENTO!A:A,0))</f>
        <v>t</v>
      </c>
      <c r="O161" s="318">
        <f>IFERROR(IF(L161="","",INDEX(ORÇAMENTO!C:C,MATCH(A161,ORÇAMENTO!A:A,0))),"")</f>
        <v>5914675</v>
      </c>
      <c r="P161" s="93" t="str">
        <f>IFERROR(IF(L161="","",INDEX(ORÇAMENTO!D:D,MATCH(A161,ORÇAMENTO!A:A,0))),"")</f>
        <v>SICRO</v>
      </c>
    </row>
    <row r="162" spans="1:16" s="158" customFormat="1" ht="25.5">
      <c r="A162" s="187" t="s">
        <v>11</v>
      </c>
      <c r="B162" s="256"/>
      <c r="C162" s="60" t="s">
        <v>42</v>
      </c>
      <c r="D162" s="60" t="s">
        <v>41</v>
      </c>
      <c r="E162" s="60" t="s">
        <v>43</v>
      </c>
      <c r="F162" s="60" t="s">
        <v>44</v>
      </c>
      <c r="G162" s="60" t="s">
        <v>45</v>
      </c>
      <c r="H162" s="60" t="s">
        <v>46</v>
      </c>
      <c r="I162" s="188" t="s">
        <v>266</v>
      </c>
      <c r="J162" s="188" t="s">
        <v>267</v>
      </c>
      <c r="K162" s="18"/>
      <c r="L162" s="174"/>
      <c r="M162" s="18"/>
      <c r="O162" s="318" t="str">
        <f>IFERROR(IF(L162="","",INDEX(ORÇAMENTO!C:C,MATCH(A162,ORÇAMENTO!A:A,0))),"")</f>
        <v/>
      </c>
      <c r="P162" s="93" t="str">
        <f>IFERROR(IF(L162="","",INDEX(ORÇAMENTO!D:D,MATCH(A162,ORÇAMENTO!A:A,0))),"")</f>
        <v/>
      </c>
    </row>
    <row r="163" spans="1:16" s="158" customFormat="1" ht="30" customHeight="1">
      <c r="A163" s="18"/>
      <c r="B163" s="335" t="s">
        <v>292</v>
      </c>
      <c r="C163" s="265" t="s">
        <v>206</v>
      </c>
      <c r="D163" s="265" t="s">
        <v>206</v>
      </c>
      <c r="E163" s="265" t="s">
        <v>206</v>
      </c>
      <c r="F163" s="265" t="s">
        <v>206</v>
      </c>
      <c r="G163" s="265" t="str">
        <f>G155</f>
        <v>-</v>
      </c>
      <c r="H163" s="265">
        <f>H160</f>
        <v>295.5</v>
      </c>
      <c r="I163" s="265">
        <v>1.8</v>
      </c>
      <c r="J163" s="265">
        <f>H163*I163</f>
        <v>531.9</v>
      </c>
      <c r="K163" s="261"/>
      <c r="L163" s="174"/>
      <c r="M163" s="18"/>
      <c r="O163" s="318" t="str">
        <f>IFERROR(IF(L163="","",INDEX(ORÇAMENTO!C:C,MATCH(A163,ORÇAMENTO!A:A,0))),"")</f>
        <v/>
      </c>
      <c r="P163" s="93" t="str">
        <f>IFERROR(IF(L163="","",INDEX(ORÇAMENTO!D:D,MATCH(A163,ORÇAMENTO!A:A,0))),"")</f>
        <v/>
      </c>
    </row>
    <row r="164" spans="1:16" s="158" customFormat="1">
      <c r="A164" s="18"/>
      <c r="B164" s="257"/>
      <c r="C164" s="16"/>
      <c r="D164" s="16"/>
      <c r="E164" s="19"/>
      <c r="F164" s="21"/>
      <c r="G164" s="21"/>
      <c r="H164" s="21"/>
      <c r="I164" s="21" t="s">
        <v>47</v>
      </c>
      <c r="J164" s="22">
        <f>SUM(J163:J163)</f>
        <v>531.9</v>
      </c>
      <c r="K164" s="19"/>
      <c r="L164" s="6"/>
      <c r="M164" s="19"/>
      <c r="O164" s="318" t="str">
        <f>IFERROR(IF(L164="","",INDEX(ORÇAMENTO!C:C,MATCH(A164,ORÇAMENTO!A:A,0))),"")</f>
        <v/>
      </c>
      <c r="P164" s="93" t="str">
        <f>IFERROR(IF(L164="","",INDEX(ORÇAMENTO!D:D,MATCH(A164,ORÇAMENTO!A:A,0))),"")</f>
        <v/>
      </c>
    </row>
    <row r="165" spans="1:16" s="158" customFormat="1" ht="35.25" customHeight="1">
      <c r="A165" s="233" t="s">
        <v>460</v>
      </c>
      <c r="B165" s="564" t="str">
        <f>INDEX(ORÇAMENTO!E:E,MATCH(A165,ORÇAMENTO!A:A,0))</f>
        <v>TRANSPORTE COM CAMINHÃO BASCULANTE DE 6 m³ - RODOVIA EM LEITO NATURAL</v>
      </c>
      <c r="C165" s="565"/>
      <c r="D165" s="565"/>
      <c r="E165" s="565"/>
      <c r="F165" s="565"/>
      <c r="G165" s="565"/>
      <c r="H165" s="565"/>
      <c r="I165" s="565"/>
      <c r="J165" s="565"/>
      <c r="K165" s="566"/>
      <c r="L165" s="234">
        <f>ROUND(K168,2)</f>
        <v>1595.7</v>
      </c>
      <c r="M165" s="233" t="str">
        <f>INDEX(ORÇAMENTO!F:F,MATCH(A165,ORÇAMENTO!A:A,0))</f>
        <v>tkm</v>
      </c>
      <c r="O165" s="318">
        <f>IFERROR(IF(L165="","",INDEX(ORÇAMENTO!C:C,MATCH(A165,ORÇAMENTO!A:A,0))),"")</f>
        <v>5914314</v>
      </c>
      <c r="P165" s="93" t="str">
        <f>IFERROR(IF(L165="","",INDEX(ORÇAMENTO!D:D,MATCH(A165,ORÇAMENTO!A:A,0))),"")</f>
        <v>SICRO</v>
      </c>
    </row>
    <row r="166" spans="1:16" s="158" customFormat="1" ht="38.25">
      <c r="A166" s="187" t="s">
        <v>11</v>
      </c>
      <c r="B166" s="256"/>
      <c r="C166" s="60" t="s">
        <v>42</v>
      </c>
      <c r="D166" s="60" t="s">
        <v>41</v>
      </c>
      <c r="E166" s="60" t="s">
        <v>43</v>
      </c>
      <c r="F166" s="60" t="s">
        <v>44</v>
      </c>
      <c r="G166" s="60" t="s">
        <v>45</v>
      </c>
      <c r="H166" s="60" t="s">
        <v>46</v>
      </c>
      <c r="I166" s="188" t="s">
        <v>267</v>
      </c>
      <c r="J166" s="174" t="s">
        <v>171</v>
      </c>
      <c r="K166" s="174" t="s">
        <v>268</v>
      </c>
      <c r="L166" s="174"/>
      <c r="M166" s="18"/>
      <c r="O166" s="318" t="str">
        <f>IFERROR(IF(L166="","",INDEX(ORÇAMENTO!C:C,MATCH(A166,ORÇAMENTO!A:A,0))),"")</f>
        <v/>
      </c>
      <c r="P166" s="93" t="str">
        <f>IFERROR(IF(L166="","",INDEX(ORÇAMENTO!D:D,MATCH(A166,ORÇAMENTO!A:A,0))),"")</f>
        <v/>
      </c>
    </row>
    <row r="167" spans="1:16" s="158" customFormat="1" ht="30" customHeight="1">
      <c r="A167" s="18"/>
      <c r="B167" s="335" t="s">
        <v>601</v>
      </c>
      <c r="C167" s="265" t="str">
        <f>C163</f>
        <v>-</v>
      </c>
      <c r="D167" s="265" t="str">
        <f>D163</f>
        <v>-</v>
      </c>
      <c r="E167" s="265" t="str">
        <f>E163</f>
        <v>-</v>
      </c>
      <c r="F167" s="265" t="str">
        <f>F163</f>
        <v>-</v>
      </c>
      <c r="G167" s="265" t="str">
        <f>G163</f>
        <v>-</v>
      </c>
      <c r="H167" s="265" t="s">
        <v>206</v>
      </c>
      <c r="I167" s="265">
        <f>J164</f>
        <v>531.9</v>
      </c>
      <c r="J167" s="265">
        <v>3</v>
      </c>
      <c r="K167" s="265">
        <f>I167*J167</f>
        <v>1595.6999999999998</v>
      </c>
      <c r="L167" s="174"/>
      <c r="M167" s="18"/>
      <c r="O167" s="318" t="str">
        <f>IFERROR(IF(L167="","",INDEX(ORÇAMENTO!C:C,MATCH(A167,ORÇAMENTO!A:A,0))),"")</f>
        <v/>
      </c>
      <c r="P167" s="93" t="str">
        <f>IFERROR(IF(L167="","",INDEX(ORÇAMENTO!D:D,MATCH(A167,ORÇAMENTO!A:A,0))),"")</f>
        <v/>
      </c>
    </row>
    <row r="168" spans="1:16" s="158" customFormat="1">
      <c r="A168" s="18"/>
      <c r="B168" s="257"/>
      <c r="C168" s="16"/>
      <c r="D168" s="16"/>
      <c r="E168" s="19"/>
      <c r="F168" s="21"/>
      <c r="G168" s="21"/>
      <c r="H168" s="22"/>
      <c r="I168" s="19"/>
      <c r="J168" s="21" t="s">
        <v>47</v>
      </c>
      <c r="K168" s="22">
        <f>SUM(K167:K167)</f>
        <v>1595.6999999999998</v>
      </c>
      <c r="L168" s="6"/>
      <c r="M168" s="19"/>
      <c r="O168" s="318" t="str">
        <f>IFERROR(IF(L168="","",INDEX(ORÇAMENTO!C:C,MATCH(A168,ORÇAMENTO!A:A,0))),"")</f>
        <v/>
      </c>
      <c r="P168" s="93" t="str">
        <f>IFERROR(IF(L168="","",INDEX(ORÇAMENTO!D:D,MATCH(A168,ORÇAMENTO!A:A,0))),"")</f>
        <v/>
      </c>
    </row>
    <row r="169" spans="1:16" s="158" customFormat="1" ht="35.25" customHeight="1">
      <c r="A169" s="233" t="s">
        <v>461</v>
      </c>
      <c r="B169" s="564" t="str">
        <f>INDEX(ORÇAMENTO!E:E,MATCH(A169,ORÇAMENTO!A:A,0))</f>
        <v>ESPALHAMENTO DE MATERIAL EM BOTA-FORA</v>
      </c>
      <c r="C169" s="565"/>
      <c r="D169" s="565"/>
      <c r="E169" s="565"/>
      <c r="F169" s="565"/>
      <c r="G169" s="565"/>
      <c r="H169" s="565"/>
      <c r="I169" s="565"/>
      <c r="J169" s="565"/>
      <c r="K169" s="566"/>
      <c r="L169" s="234">
        <f>ROUND(J172,2)</f>
        <v>369.38</v>
      </c>
      <c r="M169" s="233" t="str">
        <f>INDEX(ORÇAMENTO!F:F,MATCH(A169,ORÇAMENTO!A:A,0))</f>
        <v>m³</v>
      </c>
      <c r="O169" s="318">
        <f>IFERROR(IF(L169="","",INDEX(ORÇAMENTO!C:C,MATCH(A169,ORÇAMENTO!A:A,0))),"")</f>
        <v>4413942</v>
      </c>
      <c r="P169" s="93" t="str">
        <f>IFERROR(IF(L169="","",INDEX(ORÇAMENTO!D:D,MATCH(A169,ORÇAMENTO!A:A,0))),"")</f>
        <v>SICRO</v>
      </c>
    </row>
    <row r="170" spans="1:16" s="158" customFormat="1" ht="38.25">
      <c r="A170" s="187" t="s">
        <v>11</v>
      </c>
      <c r="B170" s="256"/>
      <c r="C170" s="60" t="s">
        <v>42</v>
      </c>
      <c r="D170" s="60" t="s">
        <v>41</v>
      </c>
      <c r="E170" s="60" t="s">
        <v>43</v>
      </c>
      <c r="F170" s="60" t="s">
        <v>44</v>
      </c>
      <c r="G170" s="60" t="s">
        <v>45</v>
      </c>
      <c r="H170" s="60" t="s">
        <v>46</v>
      </c>
      <c r="I170" s="189" t="s">
        <v>172</v>
      </c>
      <c r="J170" s="188" t="s">
        <v>269</v>
      </c>
      <c r="K170" s="18"/>
      <c r="L170" s="174"/>
      <c r="M170" s="18"/>
      <c r="O170" s="318" t="str">
        <f>IFERROR(IF(L170="","",INDEX(ORÇAMENTO!C:C,MATCH(A170,ORÇAMENTO!A:A,0))),"")</f>
        <v/>
      </c>
      <c r="P170" s="93" t="str">
        <f>IFERROR(IF(L170="","",INDEX(ORÇAMENTO!D:D,MATCH(A170,ORÇAMENTO!A:A,0))),"")</f>
        <v/>
      </c>
    </row>
    <row r="171" spans="1:16" s="158" customFormat="1" ht="30" customHeight="1">
      <c r="A171" s="18"/>
      <c r="B171" s="335" t="s">
        <v>273</v>
      </c>
      <c r="C171" s="265" t="str">
        <f>C167</f>
        <v>-</v>
      </c>
      <c r="D171" s="265" t="str">
        <f>D167</f>
        <v>-</v>
      </c>
      <c r="E171" s="265" t="str">
        <f>E167</f>
        <v>-</v>
      </c>
      <c r="F171" s="265" t="str">
        <f>F167</f>
        <v>-</v>
      </c>
      <c r="G171" s="265" t="str">
        <f>G167</f>
        <v>-</v>
      </c>
      <c r="H171" s="265">
        <f>H160</f>
        <v>295.5</v>
      </c>
      <c r="I171" s="265">
        <v>1.25</v>
      </c>
      <c r="J171" s="265">
        <f>H171*I171</f>
        <v>369.375</v>
      </c>
      <c r="K171" s="18"/>
      <c r="L171" s="174"/>
      <c r="M171" s="18"/>
      <c r="O171" s="318" t="str">
        <f>IFERROR(IF(L171="","",INDEX(ORÇAMENTO!C:C,MATCH(A171,ORÇAMENTO!A:A,0))),"")</f>
        <v/>
      </c>
      <c r="P171" s="93" t="str">
        <f>IFERROR(IF(L171="","",INDEX(ORÇAMENTO!D:D,MATCH(A171,ORÇAMENTO!A:A,0))),"")</f>
        <v/>
      </c>
    </row>
    <row r="172" spans="1:16" s="158" customFormat="1">
      <c r="A172" s="18"/>
      <c r="B172" s="257"/>
      <c r="C172" s="16"/>
      <c r="D172" s="16"/>
      <c r="E172" s="19"/>
      <c r="F172" s="21"/>
      <c r="G172" s="21"/>
      <c r="H172" s="21"/>
      <c r="I172" s="21" t="s">
        <v>47</v>
      </c>
      <c r="J172" s="22">
        <f>SUM(J171:J171)</f>
        <v>369.375</v>
      </c>
      <c r="K172" s="19"/>
      <c r="L172" s="6"/>
      <c r="M172" s="19"/>
      <c r="O172" s="318" t="str">
        <f>IFERROR(IF(L172="","",INDEX(ORÇAMENTO!C:C,MATCH(A172,ORÇAMENTO!A:A,0))),"")</f>
        <v/>
      </c>
      <c r="P172" s="93" t="str">
        <f>IFERROR(IF(L172="","",INDEX(ORÇAMENTO!D:D,MATCH(A172,ORÇAMENTO!A:A,0))),"")</f>
        <v/>
      </c>
    </row>
    <row r="173" spans="1:16" s="158" customFormat="1" ht="30" customHeight="1">
      <c r="A173" s="233" t="s">
        <v>462</v>
      </c>
      <c r="B173" s="564" t="str">
        <f>INDEX(ORÇAMENTO!E:E,MATCH(A173,ORÇAMENTO!A:A,0))</f>
        <v>DRENO SUBSUPERFICIAL EM SOLO  - TUBO PEAD DN300, MANTA PEAD E BRITA COMERCIAL</v>
      </c>
      <c r="C173" s="565"/>
      <c r="D173" s="565"/>
      <c r="E173" s="565"/>
      <c r="F173" s="565"/>
      <c r="G173" s="565"/>
      <c r="H173" s="565"/>
      <c r="I173" s="565"/>
      <c r="J173" s="565"/>
      <c r="K173" s="566"/>
      <c r="L173" s="234">
        <f>ROUND(I178,2)</f>
        <v>374</v>
      </c>
      <c r="M173" s="233" t="str">
        <f>INDEX(ORÇAMENTO!F:F,MATCH(A173,ORÇAMENTO!A:A,0))</f>
        <v>m</v>
      </c>
      <c r="O173" s="161" t="str">
        <f>IFERROR(IF(L173="","",INDEX(ORÇAMENTO!C:C,MATCH(A173,ORÇAMENTO!A:A,0))),"")</f>
        <v>COMP1 - SICRO 2003579</v>
      </c>
      <c r="P173" s="93">
        <f>IFERROR(IF(L173="","",INDEX(ORÇAMENTO!D:D,MATCH(A173,ORÇAMENTO!A:A,0))),"")</f>
        <v>0</v>
      </c>
    </row>
    <row r="174" spans="1:16" s="158" customFormat="1" ht="30" customHeight="1">
      <c r="A174" s="187" t="s">
        <v>11</v>
      </c>
      <c r="B174" s="256"/>
      <c r="C174" s="60" t="s">
        <v>42</v>
      </c>
      <c r="D174" s="60" t="s">
        <v>41</v>
      </c>
      <c r="E174" s="60" t="s">
        <v>43</v>
      </c>
      <c r="F174" s="60" t="s">
        <v>44</v>
      </c>
      <c r="G174" s="60" t="s">
        <v>45</v>
      </c>
      <c r="H174" s="60" t="s">
        <v>46</v>
      </c>
      <c r="I174" s="188" t="s">
        <v>295</v>
      </c>
      <c r="J174" s="190" t="s">
        <v>296</v>
      </c>
      <c r="K174" s="18"/>
      <c r="L174" s="174"/>
      <c r="M174" s="18"/>
      <c r="O174" s="318" t="str">
        <f>IFERROR(IF(L174="","",INDEX(ORÇAMENTO!C:C,MATCH(A174,ORÇAMENTO!A:A,0))),"")</f>
        <v/>
      </c>
      <c r="P174" s="93" t="str">
        <f>IFERROR(IF(L174="","",INDEX(ORÇAMENTO!D:D,MATCH(A174,ORÇAMENTO!A:A,0))),"")</f>
        <v/>
      </c>
    </row>
    <row r="175" spans="1:16" s="158" customFormat="1" ht="30" customHeight="1">
      <c r="A175" s="155" t="s">
        <v>606</v>
      </c>
      <c r="B175" s="335" t="s">
        <v>297</v>
      </c>
      <c r="C175" s="265">
        <v>187</v>
      </c>
      <c r="D175" s="265" t="s">
        <v>206</v>
      </c>
      <c r="E175" s="265" t="s">
        <v>206</v>
      </c>
      <c r="F175" s="265">
        <v>2</v>
      </c>
      <c r="G175" s="265">
        <f>(0.5*0.5)-(PI()*(0.3/2)^2)</f>
        <v>0.17931416529422967</v>
      </c>
      <c r="H175" s="265">
        <f>PRODUCT(C175:G175)</f>
        <v>67.063497820041889</v>
      </c>
      <c r="I175" s="265" t="s">
        <v>206</v>
      </c>
      <c r="J175" s="344">
        <f>ROUND(H175/I178,5)</f>
        <v>0.17931</v>
      </c>
      <c r="K175" s="18"/>
      <c r="L175" s="174"/>
      <c r="M175" s="18"/>
      <c r="O175" s="318" t="str">
        <f>IFERROR(IF(L175="","",INDEX(ORÇAMENTO!C:C,MATCH(A175,ORÇAMENTO!A:A,0))),"")</f>
        <v/>
      </c>
      <c r="P175" s="93" t="str">
        <f>IFERROR(IF(L175="","",INDEX(ORÇAMENTO!D:D,MATCH(A175,ORÇAMENTO!A:A,0))),"")</f>
        <v/>
      </c>
    </row>
    <row r="176" spans="1:16" s="158" customFormat="1" ht="30" customHeight="1">
      <c r="A176" s="155" t="s">
        <v>607</v>
      </c>
      <c r="B176" s="335" t="s">
        <v>611</v>
      </c>
      <c r="C176" s="265">
        <v>187</v>
      </c>
      <c r="D176" s="265">
        <v>2</v>
      </c>
      <c r="E176" s="265" t="s">
        <v>206</v>
      </c>
      <c r="F176" s="265">
        <v>2</v>
      </c>
      <c r="G176" s="265">
        <f>PRODUCT(C176:F176)</f>
        <v>748</v>
      </c>
      <c r="H176" s="265" t="s">
        <v>206</v>
      </c>
      <c r="I176" s="265" t="s">
        <v>206</v>
      </c>
      <c r="J176" s="344">
        <f>ROUND(G176/I178,5)</f>
        <v>2</v>
      </c>
      <c r="K176" s="18"/>
      <c r="L176" s="174"/>
      <c r="M176" s="18"/>
      <c r="O176" s="318" t="str">
        <f>IFERROR(IF(L176="","",INDEX(ORÇAMENTO!C:C,MATCH(A176,ORÇAMENTO!A:A,0))),"")</f>
        <v/>
      </c>
      <c r="P176" s="93" t="str">
        <f>IFERROR(IF(L176="","",INDEX(ORÇAMENTO!D:D,MATCH(A176,ORÇAMENTO!A:A,0))),"")</f>
        <v/>
      </c>
    </row>
    <row r="177" spans="1:16" s="158" customFormat="1" ht="30" customHeight="1">
      <c r="A177" s="155" t="s">
        <v>608</v>
      </c>
      <c r="B177" s="335" t="s">
        <v>294</v>
      </c>
      <c r="C177" s="265">
        <v>187</v>
      </c>
      <c r="D177" s="265" t="s">
        <v>206</v>
      </c>
      <c r="E177" s="265" t="s">
        <v>206</v>
      </c>
      <c r="F177" s="265">
        <v>2</v>
      </c>
      <c r="G177" s="265" t="s">
        <v>206</v>
      </c>
      <c r="H177" s="265" t="s">
        <v>206</v>
      </c>
      <c r="I177" s="265">
        <f>PRODUCT(C177:H177)</f>
        <v>374</v>
      </c>
      <c r="J177" s="344">
        <f>ROUND(I177/I178,5)</f>
        <v>1</v>
      </c>
      <c r="K177" s="18"/>
      <c r="L177" s="174"/>
      <c r="M177" s="18"/>
      <c r="O177" s="318" t="str">
        <f>IFERROR(IF(L177="","",INDEX(ORÇAMENTO!C:C,MATCH(A177,ORÇAMENTO!A:A,0))),"")</f>
        <v/>
      </c>
      <c r="P177" s="93" t="str">
        <f>IFERROR(IF(L177="","",INDEX(ORÇAMENTO!D:D,MATCH(A177,ORÇAMENTO!A:A,0))),"")</f>
        <v/>
      </c>
    </row>
    <row r="178" spans="1:16" s="158" customFormat="1">
      <c r="A178" s="18"/>
      <c r="B178" s="257"/>
      <c r="C178" s="16"/>
      <c r="D178" s="16"/>
      <c r="E178" s="19"/>
      <c r="F178" s="21"/>
      <c r="G178" s="21"/>
      <c r="H178" s="21" t="s">
        <v>47</v>
      </c>
      <c r="I178" s="22">
        <f>SUM(I177:I177)</f>
        <v>374</v>
      </c>
      <c r="J178" s="19"/>
      <c r="K178" s="19"/>
      <c r="L178" s="6"/>
      <c r="M178" s="19"/>
      <c r="O178" s="318" t="str">
        <f>IFERROR(IF(L178="","",INDEX(ORÇAMENTO!C:C,MATCH(A178,ORÇAMENTO!A:A,0))),"")</f>
        <v/>
      </c>
      <c r="P178" s="93" t="str">
        <f>IFERROR(IF(L178="","",INDEX(ORÇAMENTO!D:D,MATCH(A178,ORÇAMENTO!A:A,0))),"")</f>
        <v/>
      </c>
    </row>
    <row r="179" spans="1:16" s="158" customFormat="1" ht="30" customHeight="1">
      <c r="A179" s="233" t="s">
        <v>463</v>
      </c>
      <c r="B179" s="564" t="str">
        <f>INDEX(ORÇAMENTO!E:E,MATCH(A179,ORÇAMENTO!A:A,0))</f>
        <v>DRENO SUBSUPERFICIAL EM SOLO  - TUBO PEAD DN400, MANTA PEAD E BRITA COMERCIAL</v>
      </c>
      <c r="C179" s="565"/>
      <c r="D179" s="565"/>
      <c r="E179" s="565"/>
      <c r="F179" s="565"/>
      <c r="G179" s="565"/>
      <c r="H179" s="565"/>
      <c r="I179" s="565"/>
      <c r="J179" s="565"/>
      <c r="K179" s="566"/>
      <c r="L179" s="234">
        <f>ROUND(I184,2)</f>
        <v>40</v>
      </c>
      <c r="M179" s="233" t="str">
        <f>INDEX(ORÇAMENTO!F:F,MATCH(A179,ORÇAMENTO!A:A,0))</f>
        <v>m</v>
      </c>
      <c r="O179" s="161" t="str">
        <f>IFERROR(IF(L179="","",INDEX(ORÇAMENTO!C:C,MATCH(A179,ORÇAMENTO!A:A,0))),"")</f>
        <v>COMP2 - SICRO 2003579</v>
      </c>
      <c r="P179" s="93">
        <f>IFERROR(IF(L179="","",INDEX(ORÇAMENTO!D:D,MATCH(A179,ORÇAMENTO!A:A,0))),"")</f>
        <v>0</v>
      </c>
    </row>
    <row r="180" spans="1:16" s="158" customFormat="1" ht="30" customHeight="1">
      <c r="A180" s="187" t="s">
        <v>11</v>
      </c>
      <c r="B180" s="256"/>
      <c r="C180" s="60" t="s">
        <v>42</v>
      </c>
      <c r="D180" s="60" t="s">
        <v>41</v>
      </c>
      <c r="E180" s="60" t="s">
        <v>43</v>
      </c>
      <c r="F180" s="60" t="s">
        <v>44</v>
      </c>
      <c r="G180" s="60" t="s">
        <v>45</v>
      </c>
      <c r="H180" s="60" t="s">
        <v>46</v>
      </c>
      <c r="I180" s="188" t="s">
        <v>295</v>
      </c>
      <c r="J180" s="190" t="s">
        <v>296</v>
      </c>
      <c r="K180" s="18"/>
      <c r="L180" s="174"/>
      <c r="M180" s="18"/>
      <c r="O180" s="318" t="str">
        <f>IFERROR(IF(L180="","",INDEX(ORÇAMENTO!C:C,MATCH(A180,ORÇAMENTO!A:A,0))),"")</f>
        <v/>
      </c>
      <c r="P180" s="93" t="str">
        <f>IFERROR(IF(L180="","",INDEX(ORÇAMENTO!D:D,MATCH(A180,ORÇAMENTO!A:A,0))),"")</f>
        <v/>
      </c>
    </row>
    <row r="181" spans="1:16" s="158" customFormat="1" ht="30" customHeight="1">
      <c r="A181" s="155" t="s">
        <v>470</v>
      </c>
      <c r="B181" s="335" t="s">
        <v>297</v>
      </c>
      <c r="C181" s="265">
        <v>40</v>
      </c>
      <c r="D181" s="265" t="s">
        <v>206</v>
      </c>
      <c r="E181" s="265" t="s">
        <v>206</v>
      </c>
      <c r="F181" s="265">
        <v>1</v>
      </c>
      <c r="G181" s="265">
        <f>(0.5*0.5)-(PI()*(0.4/2)^2)</f>
        <v>0.12433629385640826</v>
      </c>
      <c r="H181" s="265">
        <f>PRODUCT(C181:G181)</f>
        <v>4.973451754256331</v>
      </c>
      <c r="I181" s="265" t="s">
        <v>206</v>
      </c>
      <c r="J181" s="344">
        <f>ROUND(H181/I184,5)</f>
        <v>0.12434000000000001</v>
      </c>
      <c r="K181" s="18"/>
      <c r="L181" s="174"/>
      <c r="M181" s="18"/>
      <c r="O181" s="318" t="str">
        <f>IFERROR(IF(L181="","",INDEX(ORÇAMENTO!C:C,MATCH(A181,ORÇAMENTO!A:A,0))),"")</f>
        <v/>
      </c>
      <c r="P181" s="93" t="str">
        <f>IFERROR(IF(L181="","",INDEX(ORÇAMENTO!D:D,MATCH(A181,ORÇAMENTO!A:A,0))),"")</f>
        <v/>
      </c>
    </row>
    <row r="182" spans="1:16" s="158" customFormat="1" ht="30" customHeight="1">
      <c r="A182" s="301" t="s">
        <v>471</v>
      </c>
      <c r="B182" s="335" t="s">
        <v>611</v>
      </c>
      <c r="C182" s="265">
        <v>40</v>
      </c>
      <c r="D182" s="265">
        <v>2</v>
      </c>
      <c r="E182" s="265" t="s">
        <v>206</v>
      </c>
      <c r="F182" s="265">
        <v>1</v>
      </c>
      <c r="G182" s="265">
        <f>PRODUCT(C182:F182)</f>
        <v>80</v>
      </c>
      <c r="H182" s="265" t="s">
        <v>206</v>
      </c>
      <c r="I182" s="265" t="s">
        <v>206</v>
      </c>
      <c r="J182" s="344">
        <f>ROUND(G182/I184,5)</f>
        <v>2</v>
      </c>
      <c r="K182" s="18"/>
      <c r="L182" s="174"/>
      <c r="M182" s="18"/>
      <c r="O182" s="318" t="str">
        <f>IFERROR(IF(L182="","",INDEX(ORÇAMENTO!C:C,MATCH(A182,ORÇAMENTO!A:A,0))),"")</f>
        <v/>
      </c>
      <c r="P182" s="93" t="str">
        <f>IFERROR(IF(L182="","",INDEX(ORÇAMENTO!D:D,MATCH(A182,ORÇAMENTO!A:A,0))),"")</f>
        <v/>
      </c>
    </row>
    <row r="183" spans="1:16" s="158" customFormat="1" ht="30" customHeight="1">
      <c r="A183" s="301" t="s">
        <v>472</v>
      </c>
      <c r="B183" s="335" t="s">
        <v>299</v>
      </c>
      <c r="C183" s="265">
        <v>40</v>
      </c>
      <c r="D183" s="265" t="s">
        <v>206</v>
      </c>
      <c r="E183" s="265" t="s">
        <v>206</v>
      </c>
      <c r="F183" s="265">
        <v>1</v>
      </c>
      <c r="G183" s="265" t="s">
        <v>206</v>
      </c>
      <c r="H183" s="265" t="s">
        <v>206</v>
      </c>
      <c r="I183" s="265">
        <f>PRODUCT(C183:H183)</f>
        <v>40</v>
      </c>
      <c r="J183" s="344">
        <f>ROUND(I183/I184,5)</f>
        <v>1</v>
      </c>
      <c r="K183" s="18"/>
      <c r="L183" s="174"/>
      <c r="M183" s="18"/>
      <c r="O183" s="318" t="str">
        <f>IFERROR(IF(L183="","",INDEX(ORÇAMENTO!C:C,MATCH(A183,ORÇAMENTO!A:A,0))),"")</f>
        <v/>
      </c>
      <c r="P183" s="93" t="str">
        <f>IFERROR(IF(L183="","",INDEX(ORÇAMENTO!D:D,MATCH(A183,ORÇAMENTO!A:A,0))),"")</f>
        <v/>
      </c>
    </row>
    <row r="184" spans="1:16" s="158" customFormat="1">
      <c r="A184" s="18"/>
      <c r="B184" s="257"/>
      <c r="C184" s="16"/>
      <c r="D184" s="16"/>
      <c r="E184" s="19"/>
      <c r="F184" s="21"/>
      <c r="G184" s="21"/>
      <c r="H184" s="21" t="s">
        <v>47</v>
      </c>
      <c r="I184" s="270">
        <f>SUM(I183:I183)</f>
        <v>40</v>
      </c>
      <c r="J184" s="19"/>
      <c r="K184" s="19"/>
      <c r="L184" s="6"/>
      <c r="M184" s="19"/>
      <c r="O184" s="318" t="str">
        <f>IFERROR(IF(L184="","",INDEX(ORÇAMENTO!C:C,MATCH(A184,ORÇAMENTO!A:A,0))),"")</f>
        <v/>
      </c>
      <c r="P184" s="93" t="str">
        <f>IFERROR(IF(L184="","",INDEX(ORÇAMENTO!D:D,MATCH(A184,ORÇAMENTO!A:A,0))),"")</f>
        <v/>
      </c>
    </row>
    <row r="185" spans="1:16" s="158" customFormat="1" ht="30" customHeight="1">
      <c r="A185" s="233" t="s">
        <v>464</v>
      </c>
      <c r="B185" s="564" t="str">
        <f>INDEX(ORÇAMENTO!E:E,MATCH(A185,ORÇAMENTO!A:A,0))</f>
        <v>DRENO SUBSUPERFICIAL EM SOLO - TRANSVERSAL - TUBO PEAD DN300, MANTA PEAD E BRITA COMERCIAL</v>
      </c>
      <c r="C185" s="565"/>
      <c r="D185" s="565"/>
      <c r="E185" s="565"/>
      <c r="F185" s="565"/>
      <c r="G185" s="565"/>
      <c r="H185" s="565"/>
      <c r="I185" s="565"/>
      <c r="J185" s="565"/>
      <c r="K185" s="566"/>
      <c r="L185" s="234">
        <f>ROUND(I191,2)</f>
        <v>72</v>
      </c>
      <c r="M185" s="233" t="str">
        <f>INDEX(ORÇAMENTO!F:F,MATCH(A185,ORÇAMENTO!A:A,0))</f>
        <v>m</v>
      </c>
      <c r="O185" s="161" t="str">
        <f>IFERROR(IF(L185="","",INDEX(ORÇAMENTO!C:C,MATCH(A185,ORÇAMENTO!A:A,0))),"")</f>
        <v>COMP3 - SICRO 2003579</v>
      </c>
      <c r="P185" s="93">
        <f>IFERROR(IF(L185="","",INDEX(ORÇAMENTO!D:D,MATCH(A185,ORÇAMENTO!A:A,0))),"")</f>
        <v>0</v>
      </c>
    </row>
    <row r="186" spans="1:16" s="158" customFormat="1" ht="30" customHeight="1">
      <c r="A186" s="187" t="s">
        <v>11</v>
      </c>
      <c r="B186" s="256"/>
      <c r="C186" s="60" t="s">
        <v>42</v>
      </c>
      <c r="D186" s="60" t="s">
        <v>41</v>
      </c>
      <c r="E186" s="60" t="s">
        <v>43</v>
      </c>
      <c r="F186" s="60" t="s">
        <v>44</v>
      </c>
      <c r="G186" s="60" t="s">
        <v>45</v>
      </c>
      <c r="H186" s="60" t="s">
        <v>46</v>
      </c>
      <c r="I186" s="188" t="s">
        <v>295</v>
      </c>
      <c r="J186" s="314" t="s">
        <v>296</v>
      </c>
      <c r="K186" s="18"/>
      <c r="L186" s="174"/>
      <c r="M186" s="18"/>
      <c r="O186" s="318" t="str">
        <f>IFERROR(IF(L186="","",INDEX(ORÇAMENTO!C:C,MATCH(A186,ORÇAMENTO!A:A,0))),"")</f>
        <v/>
      </c>
      <c r="P186" s="93" t="str">
        <f>IFERROR(IF(L186="","",INDEX(ORÇAMENTO!D:D,MATCH(A186,ORÇAMENTO!A:A,0))),"")</f>
        <v/>
      </c>
    </row>
    <row r="187" spans="1:16" s="158" customFormat="1" ht="30" customHeight="1">
      <c r="A187" s="313" t="s">
        <v>473</v>
      </c>
      <c r="B187" s="335" t="s">
        <v>297</v>
      </c>
      <c r="C187" s="265">
        <v>72</v>
      </c>
      <c r="D187" s="265" t="s">
        <v>206</v>
      </c>
      <c r="E187" s="265" t="s">
        <v>206</v>
      </c>
      <c r="F187" s="265">
        <v>1</v>
      </c>
      <c r="G187" s="265">
        <f>(1*1)-(PI()*(0.3/2)^2)</f>
        <v>0.92931416529422961</v>
      </c>
      <c r="H187" s="265">
        <f>PRODUCT(C187:G187)</f>
        <v>66.910619901184532</v>
      </c>
      <c r="I187" s="265" t="s">
        <v>206</v>
      </c>
      <c r="J187" s="344">
        <f>ROUND(H187/I191,5)</f>
        <v>0.92930999999999997</v>
      </c>
      <c r="K187" s="18"/>
      <c r="L187" s="174"/>
      <c r="M187" s="18"/>
      <c r="O187" s="318" t="str">
        <f>IFERROR(IF(L187="","",INDEX(ORÇAMENTO!C:C,MATCH(A187,ORÇAMENTO!A:A,0))),"")</f>
        <v/>
      </c>
      <c r="P187" s="93" t="str">
        <f>IFERROR(IF(L187="","",INDEX(ORÇAMENTO!D:D,MATCH(A187,ORÇAMENTO!A:A,0))),"")</f>
        <v/>
      </c>
    </row>
    <row r="188" spans="1:16" s="158" customFormat="1" ht="30" customHeight="1">
      <c r="A188" s="313" t="s">
        <v>474</v>
      </c>
      <c r="B188" s="335" t="s">
        <v>611</v>
      </c>
      <c r="C188" s="265">
        <v>72</v>
      </c>
      <c r="D188" s="265">
        <v>3</v>
      </c>
      <c r="E188" s="265" t="s">
        <v>206</v>
      </c>
      <c r="F188" s="265">
        <v>1</v>
      </c>
      <c r="G188" s="265">
        <f>PRODUCT(C188:F188)</f>
        <v>216</v>
      </c>
      <c r="H188" s="265" t="s">
        <v>206</v>
      </c>
      <c r="I188" s="265" t="s">
        <v>206</v>
      </c>
      <c r="J188" s="344">
        <f>ROUND(G188/I190,5)</f>
        <v>3</v>
      </c>
      <c r="K188" s="18"/>
      <c r="L188" s="174"/>
      <c r="M188" s="18"/>
      <c r="O188" s="318" t="str">
        <f>IFERROR(IF(L188="","",INDEX(ORÇAMENTO!C:C,MATCH(A188,ORÇAMENTO!A:A,0))),"")</f>
        <v/>
      </c>
      <c r="P188" s="93" t="str">
        <f>IFERROR(IF(L188="","",INDEX(ORÇAMENTO!D:D,MATCH(A188,ORÇAMENTO!A:A,0))),"")</f>
        <v/>
      </c>
    </row>
    <row r="189" spans="1:16" s="158" customFormat="1" ht="30" customHeight="1">
      <c r="A189" s="313" t="s">
        <v>475</v>
      </c>
      <c r="B189" s="335" t="s">
        <v>610</v>
      </c>
      <c r="C189" s="265">
        <v>72</v>
      </c>
      <c r="D189" s="265">
        <v>3</v>
      </c>
      <c r="E189" s="265" t="s">
        <v>206</v>
      </c>
      <c r="F189" s="265">
        <v>1</v>
      </c>
      <c r="G189" s="265">
        <f>PRODUCT(C189:F189)</f>
        <v>216</v>
      </c>
      <c r="H189" s="265" t="s">
        <v>206</v>
      </c>
      <c r="I189" s="265" t="s">
        <v>206</v>
      </c>
      <c r="J189" s="344">
        <f>ROUND(G189/I191,5)</f>
        <v>3</v>
      </c>
      <c r="K189" s="18"/>
      <c r="L189" s="174"/>
      <c r="M189" s="18"/>
      <c r="O189" s="318" t="str">
        <f>IFERROR(IF(L189="","",INDEX(ORÇAMENTO!C:C,MATCH(A189,ORÇAMENTO!A:A,0))),"")</f>
        <v/>
      </c>
      <c r="P189" s="93" t="str">
        <f>IFERROR(IF(L189="","",INDEX(ORÇAMENTO!D:D,MATCH(A189,ORÇAMENTO!A:A,0))),"")</f>
        <v/>
      </c>
    </row>
    <row r="190" spans="1:16" s="158" customFormat="1" ht="30" customHeight="1">
      <c r="A190" s="313" t="s">
        <v>609</v>
      </c>
      <c r="B190" s="335" t="s">
        <v>294</v>
      </c>
      <c r="C190" s="265">
        <v>72</v>
      </c>
      <c r="D190" s="265" t="s">
        <v>206</v>
      </c>
      <c r="E190" s="265" t="s">
        <v>206</v>
      </c>
      <c r="F190" s="265">
        <v>1</v>
      </c>
      <c r="G190" s="265" t="s">
        <v>206</v>
      </c>
      <c r="H190" s="265" t="s">
        <v>206</v>
      </c>
      <c r="I190" s="265">
        <f>PRODUCT(C190:H190)</f>
        <v>72</v>
      </c>
      <c r="J190" s="344">
        <f>ROUND(I190/I191,5)</f>
        <v>1</v>
      </c>
      <c r="K190" s="18"/>
      <c r="L190" s="174"/>
      <c r="M190" s="18"/>
      <c r="O190" s="318" t="str">
        <f>IFERROR(IF(L190="","",INDEX(ORÇAMENTO!C:C,MATCH(A190,ORÇAMENTO!A:A,0))),"")</f>
        <v/>
      </c>
      <c r="P190" s="93" t="str">
        <f>IFERROR(IF(L190="","",INDEX(ORÇAMENTO!D:D,MATCH(A190,ORÇAMENTO!A:A,0))),"")</f>
        <v/>
      </c>
    </row>
    <row r="191" spans="1:16" s="158" customFormat="1">
      <c r="A191" s="18"/>
      <c r="B191" s="257"/>
      <c r="C191" s="16"/>
      <c r="D191" s="16"/>
      <c r="E191" s="19"/>
      <c r="F191" s="21"/>
      <c r="G191" s="21"/>
      <c r="H191" s="21" t="s">
        <v>47</v>
      </c>
      <c r="I191" s="22">
        <f>SUM(I190:I190)</f>
        <v>72</v>
      </c>
      <c r="J191" s="19"/>
      <c r="K191" s="19"/>
      <c r="L191" s="6"/>
      <c r="M191" s="19"/>
      <c r="O191" s="318" t="str">
        <f>IFERROR(IF(L191="","",INDEX(ORÇAMENTO!C:C,MATCH(A191,ORÇAMENTO!A:A,0))),"")</f>
        <v/>
      </c>
      <c r="P191" s="93" t="str">
        <f>IFERROR(IF(L191="","",INDEX(ORÇAMENTO!D:D,MATCH(A191,ORÇAMENTO!A:A,0))),"")</f>
        <v/>
      </c>
    </row>
    <row r="192" spans="1:16" s="158" customFormat="1" ht="30" customHeight="1">
      <c r="A192" s="233" t="s">
        <v>465</v>
      </c>
      <c r="B192" s="564" t="str">
        <f>INDEX(ORÇAMENTO!E:E,MATCH(A192,ORÇAMENTO!A:A,0))</f>
        <v>LASTRO DE AREIA COMERCIAL - ESPALHAMENTO MANUAL</v>
      </c>
      <c r="C192" s="565"/>
      <c r="D192" s="565"/>
      <c r="E192" s="565"/>
      <c r="F192" s="565"/>
      <c r="G192" s="565"/>
      <c r="H192" s="565"/>
      <c r="I192" s="565"/>
      <c r="J192" s="565"/>
      <c r="K192" s="566"/>
      <c r="L192" s="234">
        <f>ROUND(H195,2)</f>
        <v>635.79999999999995</v>
      </c>
      <c r="M192" s="233" t="str">
        <f>INDEX(ORÇAMENTO!F:F,MATCH(A192,ORÇAMENTO!A:A,0))</f>
        <v>m³</v>
      </c>
      <c r="O192" s="318">
        <f>IFERROR(IF(L192="","",INDEX(ORÇAMENTO!C:C,MATCH(A192,ORÇAMENTO!A:A,0))),"")</f>
        <v>2003767</v>
      </c>
      <c r="P192" s="93" t="str">
        <f>IFERROR(IF(L192="","",INDEX(ORÇAMENTO!D:D,MATCH(A192,ORÇAMENTO!A:A,0))),"")</f>
        <v>SICRO</v>
      </c>
    </row>
    <row r="193" spans="1:16" s="158" customFormat="1" ht="30" customHeight="1">
      <c r="A193" s="187" t="s">
        <v>11</v>
      </c>
      <c r="B193" s="256"/>
      <c r="C193" s="60" t="s">
        <v>42</v>
      </c>
      <c r="D193" s="60" t="s">
        <v>41</v>
      </c>
      <c r="E193" s="60" t="s">
        <v>43</v>
      </c>
      <c r="F193" s="60" t="s">
        <v>44</v>
      </c>
      <c r="G193" s="60" t="s">
        <v>45</v>
      </c>
      <c r="H193" s="60" t="s">
        <v>46</v>
      </c>
      <c r="I193" s="18"/>
      <c r="J193" s="18"/>
      <c r="K193" s="18"/>
      <c r="L193" s="174"/>
      <c r="M193" s="18"/>
      <c r="O193" s="318" t="str">
        <f>IFERROR(IF(L193="","",INDEX(ORÇAMENTO!C:C,MATCH(A193,ORÇAMENTO!A:A,0))),"")</f>
        <v/>
      </c>
      <c r="P193" s="93" t="str">
        <f>IFERROR(IF(L193="","",INDEX(ORÇAMENTO!D:D,MATCH(A193,ORÇAMENTO!A:A,0))),"")</f>
        <v/>
      </c>
    </row>
    <row r="194" spans="1:16" s="158" customFormat="1" ht="30" customHeight="1">
      <c r="A194" s="155" t="s">
        <v>476</v>
      </c>
      <c r="B194" s="335" t="s">
        <v>275</v>
      </c>
      <c r="C194" s="265">
        <v>187</v>
      </c>
      <c r="D194" s="265">
        <v>34</v>
      </c>
      <c r="E194" s="265">
        <v>0.1</v>
      </c>
      <c r="F194" s="265" t="s">
        <v>206</v>
      </c>
      <c r="G194" s="265" t="s">
        <v>206</v>
      </c>
      <c r="H194" s="265">
        <f>PRODUCT(C194:G194)</f>
        <v>635.80000000000007</v>
      </c>
      <c r="I194" s="18"/>
      <c r="J194" s="18"/>
      <c r="K194" s="18"/>
      <c r="L194" s="174"/>
      <c r="M194" s="18"/>
      <c r="O194" s="318" t="str">
        <f>IFERROR(IF(L194="","",INDEX(ORÇAMENTO!C:C,MATCH(A194,ORÇAMENTO!A:A,0))),"")</f>
        <v/>
      </c>
      <c r="P194" s="93" t="str">
        <f>IFERROR(IF(L194="","",INDEX(ORÇAMENTO!D:D,MATCH(A194,ORÇAMENTO!A:A,0))),"")</f>
        <v/>
      </c>
    </row>
    <row r="195" spans="1:16" s="158" customFormat="1">
      <c r="A195" s="18"/>
      <c r="B195" s="257"/>
      <c r="C195" s="16"/>
      <c r="D195" s="16"/>
      <c r="E195" s="19"/>
      <c r="F195" s="21"/>
      <c r="G195" s="21" t="s">
        <v>47</v>
      </c>
      <c r="H195" s="22">
        <f>SUM(H194:H194)</f>
        <v>635.80000000000007</v>
      </c>
      <c r="I195" s="19"/>
      <c r="J195" s="19"/>
      <c r="K195" s="19"/>
      <c r="L195" s="6"/>
      <c r="M195" s="19"/>
      <c r="O195" s="318" t="str">
        <f>IFERROR(IF(L195="","",INDEX(ORÇAMENTO!C:C,MATCH(A195,ORÇAMENTO!A:A,0))),"")</f>
        <v/>
      </c>
      <c r="P195" s="93" t="str">
        <f>IFERROR(IF(L195="","",INDEX(ORÇAMENTO!D:D,MATCH(A195,ORÇAMENTO!A:A,0))),"")</f>
        <v/>
      </c>
    </row>
    <row r="196" spans="1:16" s="158" customFormat="1" ht="30" customHeight="1">
      <c r="A196" s="278" t="s">
        <v>428</v>
      </c>
      <c r="B196" s="576" t="str">
        <f>INDEX(ORÇAMENTO!E:E,MATCH(A196,ORÇAMENTO!A:A,0))</f>
        <v>REVESTIMENTO DA BACIA DO FOREBAY</v>
      </c>
      <c r="C196" s="577"/>
      <c r="D196" s="577"/>
      <c r="E196" s="577"/>
      <c r="F196" s="577"/>
      <c r="G196" s="577"/>
      <c r="H196" s="577"/>
      <c r="I196" s="577"/>
      <c r="J196" s="577"/>
      <c r="K196" s="577"/>
      <c r="L196" s="577"/>
      <c r="M196" s="578"/>
      <c r="O196" s="318" t="str">
        <f>IFERROR(IF(L196="","",INDEX(ORÇAMENTO!C:C,MATCH(A196,ORÇAMENTO!A:A,0))),"")</f>
        <v/>
      </c>
      <c r="P196" s="93" t="str">
        <f>IFERROR(IF(L196="","",INDEX(ORÇAMENTO!D:D,MATCH(A196,ORÇAMENTO!A:A,0))),"")</f>
        <v/>
      </c>
    </row>
    <row r="197" spans="1:16" s="158" customFormat="1" ht="30" customHeight="1">
      <c r="A197" s="233" t="s">
        <v>477</v>
      </c>
      <c r="B197" s="564" t="str">
        <f>INDEX(ORÇAMENTO!E:E,MATCH(A197,ORÇAMENTO!A:A,0))</f>
        <v>MANTA TERMOPLASTICA, PEAD, GEOMEMBRANA TEXTURIZADA EM AMBAS AS FACES, E = 1,00 mm</v>
      </c>
      <c r="C197" s="565"/>
      <c r="D197" s="565"/>
      <c r="E197" s="565"/>
      <c r="F197" s="565"/>
      <c r="G197" s="565"/>
      <c r="H197" s="565"/>
      <c r="I197" s="565"/>
      <c r="J197" s="565"/>
      <c r="K197" s="566"/>
      <c r="L197" s="234">
        <f>ROUND(G200,2)</f>
        <v>6358</v>
      </c>
      <c r="M197" s="233" t="str">
        <f>INDEX(ORÇAMENTO!F:F,MATCH(A197,ORÇAMENTO!A:A,0))</f>
        <v>m²</v>
      </c>
      <c r="O197" s="161" t="str">
        <f>IFERROR(IF(L197="","",INDEX(ORÇAMENTO!C:C,MATCH(A197,ORÇAMENTO!A:A,0))),"")</f>
        <v>COMP4 - SICRO 4011536</v>
      </c>
      <c r="P197" s="93">
        <f>IFERROR(IF(L197="","",INDEX(ORÇAMENTO!D:D,MATCH(A197,ORÇAMENTO!A:A,0))),"")</f>
        <v>0</v>
      </c>
    </row>
    <row r="198" spans="1:16" s="158" customFormat="1" ht="30" customHeight="1">
      <c r="A198" s="187" t="s">
        <v>11</v>
      </c>
      <c r="B198" s="256"/>
      <c r="C198" s="60" t="s">
        <v>42</v>
      </c>
      <c r="D198" s="60" t="s">
        <v>41</v>
      </c>
      <c r="E198" s="60" t="s">
        <v>43</v>
      </c>
      <c r="F198" s="60" t="s">
        <v>44</v>
      </c>
      <c r="G198" s="60" t="s">
        <v>45</v>
      </c>
      <c r="H198" s="60"/>
      <c r="I198" s="18"/>
      <c r="J198" s="18"/>
      <c r="K198" s="18"/>
      <c r="L198" s="174"/>
      <c r="M198" s="18"/>
      <c r="O198" s="318" t="str">
        <f>IFERROR(IF(L198="","",INDEX(ORÇAMENTO!C:C,MATCH(A198,ORÇAMENTO!A:A,0))),"")</f>
        <v/>
      </c>
      <c r="P198" s="93" t="str">
        <f>IFERROR(IF(L198="","",INDEX(ORÇAMENTO!D:D,MATCH(A198,ORÇAMENTO!A:A,0))),"")</f>
        <v/>
      </c>
    </row>
    <row r="199" spans="1:16" s="158" customFormat="1" ht="30" customHeight="1">
      <c r="A199" s="155" t="s">
        <v>478</v>
      </c>
      <c r="B199" s="335" t="s">
        <v>303</v>
      </c>
      <c r="C199" s="265">
        <v>187</v>
      </c>
      <c r="D199" s="265">
        <v>34</v>
      </c>
      <c r="E199" s="265" t="s">
        <v>206</v>
      </c>
      <c r="F199" s="265" t="s">
        <v>206</v>
      </c>
      <c r="G199" s="265">
        <f>PRODUCT(C199:F199)</f>
        <v>6358</v>
      </c>
      <c r="H199" s="18"/>
      <c r="I199" s="18"/>
      <c r="J199" s="18"/>
      <c r="K199" s="18"/>
      <c r="L199" s="174"/>
      <c r="M199" s="18"/>
      <c r="O199" s="318" t="str">
        <f>IFERROR(IF(L199="","",INDEX(ORÇAMENTO!C:C,MATCH(A199,ORÇAMENTO!A:A,0))),"")</f>
        <v/>
      </c>
      <c r="P199" s="93" t="str">
        <f>IFERROR(IF(L199="","",INDEX(ORÇAMENTO!D:D,MATCH(A199,ORÇAMENTO!A:A,0))),"")</f>
        <v/>
      </c>
    </row>
    <row r="200" spans="1:16" s="158" customFormat="1">
      <c r="A200" s="18"/>
      <c r="B200" s="257"/>
      <c r="C200" s="16"/>
      <c r="D200" s="16"/>
      <c r="E200" s="19"/>
      <c r="F200" s="21" t="s">
        <v>47</v>
      </c>
      <c r="G200" s="22">
        <f>SUM(G199:G199)</f>
        <v>6358</v>
      </c>
      <c r="H200" s="19"/>
      <c r="I200" s="19"/>
      <c r="J200" s="19"/>
      <c r="K200" s="19"/>
      <c r="L200" s="6"/>
      <c r="M200" s="19"/>
      <c r="O200" s="318" t="str">
        <f>IFERROR(IF(L200="","",INDEX(ORÇAMENTO!C:C,MATCH(A200,ORÇAMENTO!A:A,0))),"")</f>
        <v/>
      </c>
      <c r="P200" s="93" t="str">
        <f>IFERROR(IF(L200="","",INDEX(ORÇAMENTO!D:D,MATCH(A200,ORÇAMENTO!A:A,0))),"")</f>
        <v/>
      </c>
    </row>
    <row r="201" spans="1:16" s="158" customFormat="1" ht="30" customHeight="1">
      <c r="A201" s="233" t="s">
        <v>479</v>
      </c>
      <c r="B201" s="564" t="str">
        <f>INDEX(ORÇAMENTO!E:E,MATCH(A201,ORÇAMENTO!A:A,0))</f>
        <v>CONCRETO FCK = 20 MPa - CONFECÇÃO EM CENTRAL DOSADORA DE 30 m³/h - AREIA E BRITA COMERCIAIS</v>
      </c>
      <c r="C201" s="565"/>
      <c r="D201" s="565"/>
      <c r="E201" s="565"/>
      <c r="F201" s="565"/>
      <c r="G201" s="565"/>
      <c r="H201" s="565"/>
      <c r="I201" s="565"/>
      <c r="J201" s="565"/>
      <c r="K201" s="566"/>
      <c r="L201" s="234">
        <f>ROUND(H205,2)</f>
        <v>574.21</v>
      </c>
      <c r="M201" s="233" t="str">
        <f>INDEX(ORÇAMENTO!F:F,MATCH(A201,ORÇAMENTO!A:A,0))</f>
        <v>m³</v>
      </c>
      <c r="O201" s="318">
        <f>IFERROR(IF(L201="","",INDEX(ORÇAMENTO!C:C,MATCH(A201,ORÇAMENTO!A:A,0))),"")</f>
        <v>1107928</v>
      </c>
      <c r="P201" s="93" t="str">
        <f>IFERROR(IF(L201="","",INDEX(ORÇAMENTO!D:D,MATCH(A201,ORÇAMENTO!A:A,0))),"")</f>
        <v>SICRO</v>
      </c>
    </row>
    <row r="202" spans="1:16" s="158" customFormat="1" ht="30" customHeight="1">
      <c r="A202" s="187" t="s">
        <v>11</v>
      </c>
      <c r="B202" s="256"/>
      <c r="C202" s="60" t="s">
        <v>42</v>
      </c>
      <c r="D202" s="60" t="s">
        <v>41</v>
      </c>
      <c r="E202" s="60" t="s">
        <v>43</v>
      </c>
      <c r="F202" s="60" t="s">
        <v>44</v>
      </c>
      <c r="G202" s="60" t="s">
        <v>45</v>
      </c>
      <c r="H202" s="60" t="s">
        <v>46</v>
      </c>
      <c r="I202" s="18"/>
      <c r="J202" s="18"/>
      <c r="K202" s="18"/>
      <c r="L202" s="174"/>
      <c r="M202" s="18"/>
      <c r="O202" s="318" t="str">
        <f>IFERROR(IF(L202="","",INDEX(ORÇAMENTO!C:C,MATCH(A202,ORÇAMENTO!A:A,0))),"")</f>
        <v/>
      </c>
      <c r="P202" s="93" t="str">
        <f>IFERROR(IF(L202="","",INDEX(ORÇAMENTO!D:D,MATCH(A202,ORÇAMENTO!A:A,0))),"")</f>
        <v/>
      </c>
    </row>
    <row r="203" spans="1:16" s="158" customFormat="1" ht="30" customHeight="1">
      <c r="A203" s="18"/>
      <c r="B203" s="335" t="s">
        <v>277</v>
      </c>
      <c r="C203" s="265">
        <v>187</v>
      </c>
      <c r="D203" s="265">
        <v>34</v>
      </c>
      <c r="E203" s="265">
        <v>7.0000000000000007E-2</v>
      </c>
      <c r="F203" s="265" t="s">
        <v>206</v>
      </c>
      <c r="G203" s="265" t="s">
        <v>206</v>
      </c>
      <c r="H203" s="265">
        <f>PRODUCT(C203:G203)</f>
        <v>445.06000000000006</v>
      </c>
      <c r="I203" s="18"/>
      <c r="J203" s="18"/>
      <c r="K203" s="18"/>
      <c r="L203" s="174"/>
      <c r="M203" s="18"/>
      <c r="O203" s="318" t="str">
        <f>IFERROR(IF(L203="","",INDEX(ORÇAMENTO!C:C,MATCH(A203,ORÇAMENTO!A:A,0))),"")</f>
        <v/>
      </c>
      <c r="P203" s="93" t="str">
        <f>IFERROR(IF(L203="","",INDEX(ORÇAMENTO!D:D,MATCH(A203,ORÇAMENTO!A:A,0))),"")</f>
        <v/>
      </c>
    </row>
    <row r="204" spans="1:16" s="158" customFormat="1" ht="30" customHeight="1">
      <c r="A204" s="18"/>
      <c r="B204" s="335" t="s">
        <v>276</v>
      </c>
      <c r="C204" s="265" t="s">
        <v>206</v>
      </c>
      <c r="D204" s="265" t="s">
        <v>206</v>
      </c>
      <c r="E204" s="265">
        <v>0.05</v>
      </c>
      <c r="F204" s="265" t="s">
        <v>206</v>
      </c>
      <c r="G204" s="265">
        <v>2583</v>
      </c>
      <c r="H204" s="265">
        <f>PRODUCT(C204:G204)</f>
        <v>129.15</v>
      </c>
      <c r="I204" s="18"/>
      <c r="J204" s="18"/>
      <c r="K204" s="18"/>
      <c r="L204" s="174"/>
      <c r="M204" s="18"/>
      <c r="O204" s="318" t="str">
        <f>IFERROR(IF(L204="","",INDEX(ORÇAMENTO!C:C,MATCH(A204,ORÇAMENTO!A:A,0))),"")</f>
        <v/>
      </c>
      <c r="P204" s="93" t="str">
        <f>IFERROR(IF(L204="","",INDEX(ORÇAMENTO!D:D,MATCH(A204,ORÇAMENTO!A:A,0))),"")</f>
        <v/>
      </c>
    </row>
    <row r="205" spans="1:16" s="158" customFormat="1">
      <c r="A205" s="18"/>
      <c r="B205" s="257"/>
      <c r="C205" s="16"/>
      <c r="D205" s="16"/>
      <c r="E205" s="19"/>
      <c r="F205" s="21"/>
      <c r="G205" s="21" t="s">
        <v>47</v>
      </c>
      <c r="H205" s="22">
        <f>SUM(H203:H204)</f>
        <v>574.21</v>
      </c>
      <c r="I205" s="19"/>
      <c r="J205" s="19"/>
      <c r="K205" s="19"/>
      <c r="L205" s="6"/>
      <c r="M205" s="19"/>
      <c r="O205" s="318" t="str">
        <f>IFERROR(IF(L205="","",INDEX(ORÇAMENTO!C:C,MATCH(A205,ORÇAMENTO!A:A,0))),"")</f>
        <v/>
      </c>
      <c r="P205" s="93" t="str">
        <f>IFERROR(IF(L205="","",INDEX(ORÇAMENTO!D:D,MATCH(A205,ORÇAMENTO!A:A,0))),"")</f>
        <v/>
      </c>
    </row>
    <row r="206" spans="1:16" s="158" customFormat="1" ht="30" customHeight="1">
      <c r="A206" s="233" t="s">
        <v>485</v>
      </c>
      <c r="B206" s="564" t="str">
        <f>INDEX(ORÇAMENTO!E:E,MATCH(A206,ORÇAMENTO!A:A,0))</f>
        <v>LANÇAMENTO LIVRE DE CONCRETO USINADO POR MEIO DE CAMINHÃO BETONEIRA - CONFECÇÃO EM CENTRAL DOSADORA DE 30 m³/h</v>
      </c>
      <c r="C206" s="565"/>
      <c r="D206" s="565"/>
      <c r="E206" s="565"/>
      <c r="F206" s="565"/>
      <c r="G206" s="565"/>
      <c r="H206" s="565"/>
      <c r="I206" s="565"/>
      <c r="J206" s="565"/>
      <c r="K206" s="566"/>
      <c r="L206" s="234">
        <f>ROUND(H209,2)</f>
        <v>129.15</v>
      </c>
      <c r="M206" s="233" t="str">
        <f>INDEX(ORÇAMENTO!F:F,MATCH(A206,ORÇAMENTO!A:A,0))</f>
        <v>m³</v>
      </c>
      <c r="O206" s="318">
        <f>IFERROR(IF(L206="","",INDEX(ORÇAMENTO!C:C,MATCH(A206,ORÇAMENTO!A:A,0))),"")</f>
        <v>1106050</v>
      </c>
      <c r="P206" s="93" t="str">
        <f>IFERROR(IF(L206="","",INDEX(ORÇAMENTO!D:D,MATCH(A206,ORÇAMENTO!A:A,0))),"")</f>
        <v>SICRO</v>
      </c>
    </row>
    <row r="207" spans="1:16" s="158" customFormat="1" ht="30" customHeight="1">
      <c r="A207" s="187" t="s">
        <v>11</v>
      </c>
      <c r="B207" s="256"/>
      <c r="C207" s="60" t="s">
        <v>42</v>
      </c>
      <c r="D207" s="60" t="s">
        <v>41</v>
      </c>
      <c r="E207" s="60" t="s">
        <v>43</v>
      </c>
      <c r="F207" s="60" t="s">
        <v>44</v>
      </c>
      <c r="G207" s="60" t="s">
        <v>45</v>
      </c>
      <c r="H207" s="60" t="s">
        <v>46</v>
      </c>
      <c r="I207" s="18"/>
      <c r="J207" s="18"/>
      <c r="K207" s="18"/>
      <c r="L207" s="174"/>
      <c r="M207" s="18"/>
      <c r="O207" s="318" t="str">
        <f>IFERROR(IF(L207="","",INDEX(ORÇAMENTO!C:C,MATCH(A207,ORÇAMENTO!A:A,0))),"")</f>
        <v/>
      </c>
      <c r="P207" s="93" t="str">
        <f>IFERROR(IF(L207="","",INDEX(ORÇAMENTO!D:D,MATCH(A207,ORÇAMENTO!A:A,0))),"")</f>
        <v/>
      </c>
    </row>
    <row r="208" spans="1:16" s="158" customFormat="1" ht="30" customHeight="1">
      <c r="A208" s="18"/>
      <c r="B208" s="335" t="s">
        <v>276</v>
      </c>
      <c r="C208" s="265" t="s">
        <v>206</v>
      </c>
      <c r="D208" s="265" t="s">
        <v>206</v>
      </c>
      <c r="E208" s="265">
        <v>0.05</v>
      </c>
      <c r="F208" s="265" t="s">
        <v>206</v>
      </c>
      <c r="G208" s="265">
        <v>2583</v>
      </c>
      <c r="H208" s="265">
        <f>PRODUCT(C208:G208)</f>
        <v>129.15</v>
      </c>
      <c r="I208" s="18"/>
      <c r="J208" s="18"/>
      <c r="K208" s="18"/>
      <c r="L208" s="174"/>
      <c r="M208" s="18"/>
      <c r="O208" s="318" t="str">
        <f>IFERROR(IF(L208="","",INDEX(ORÇAMENTO!C:C,MATCH(A208,ORÇAMENTO!A:A,0))),"")</f>
        <v/>
      </c>
      <c r="P208" s="93" t="str">
        <f>IFERROR(IF(L208="","",INDEX(ORÇAMENTO!D:D,MATCH(A208,ORÇAMENTO!A:A,0))),"")</f>
        <v/>
      </c>
    </row>
    <row r="209" spans="1:16" s="158" customFormat="1">
      <c r="A209" s="18"/>
      <c r="B209" s="257"/>
      <c r="C209" s="16"/>
      <c r="D209" s="16"/>
      <c r="E209" s="19"/>
      <c r="F209" s="21"/>
      <c r="G209" s="21" t="s">
        <v>47</v>
      </c>
      <c r="H209" s="22">
        <f>SUM(H208:H208)</f>
        <v>129.15</v>
      </c>
      <c r="I209" s="19"/>
      <c r="J209" s="19"/>
      <c r="K209" s="19"/>
      <c r="L209" s="6"/>
      <c r="M209" s="19"/>
      <c r="O209" s="318" t="str">
        <f>IFERROR(IF(L209="","",INDEX(ORÇAMENTO!C:C,MATCH(A209,ORÇAMENTO!A:A,0))),"")</f>
        <v/>
      </c>
      <c r="P209" s="93" t="str">
        <f>IFERROR(IF(L209="","",INDEX(ORÇAMENTO!D:D,MATCH(A209,ORÇAMENTO!A:A,0))),"")</f>
        <v/>
      </c>
    </row>
    <row r="210" spans="1:16" s="158" customFormat="1" ht="30" customHeight="1">
      <c r="A210" s="233" t="s">
        <v>486</v>
      </c>
      <c r="B210" s="564" t="str">
        <f>INDEX(ORÇAMENTO!E:E,MATCH(A210,ORÇAMENTO!A:A,0))</f>
        <v>LANÇAMENTO MECÂNICO DE CONCRETO COM BOMBA REBOCÁVEL COM CAPACIDADE DE 30 m³/h - CONFECÇÃO EM CENTRAL DOSADORA DE 30 m³/h</v>
      </c>
      <c r="C210" s="565"/>
      <c r="D210" s="565"/>
      <c r="E210" s="565"/>
      <c r="F210" s="565"/>
      <c r="G210" s="565"/>
      <c r="H210" s="565"/>
      <c r="I210" s="565"/>
      <c r="J210" s="565"/>
      <c r="K210" s="566"/>
      <c r="L210" s="234">
        <f>ROUND(H213,2)</f>
        <v>445.06</v>
      </c>
      <c r="M210" s="233" t="str">
        <f>INDEX(ORÇAMENTO!F:F,MATCH(A210,ORÇAMENTO!A:A,0))</f>
        <v>m³</v>
      </c>
      <c r="O210" s="318">
        <f>IFERROR(IF(L210="","",INDEX(ORÇAMENTO!C:C,MATCH(A210,ORÇAMENTO!A:A,0))),"")</f>
        <v>1106088</v>
      </c>
      <c r="P210" s="93" t="str">
        <f>IFERROR(IF(L210="","",INDEX(ORÇAMENTO!D:D,MATCH(A210,ORÇAMENTO!A:A,0))),"")</f>
        <v>SICRO</v>
      </c>
    </row>
    <row r="211" spans="1:16" s="158" customFormat="1" ht="30" customHeight="1">
      <c r="A211" s="187" t="s">
        <v>11</v>
      </c>
      <c r="B211" s="256"/>
      <c r="C211" s="60" t="s">
        <v>42</v>
      </c>
      <c r="D211" s="60" t="s">
        <v>41</v>
      </c>
      <c r="E211" s="60" t="s">
        <v>43</v>
      </c>
      <c r="F211" s="60" t="s">
        <v>44</v>
      </c>
      <c r="G211" s="60" t="s">
        <v>45</v>
      </c>
      <c r="H211" s="60" t="s">
        <v>46</v>
      </c>
      <c r="I211" s="18"/>
      <c r="J211" s="18"/>
      <c r="K211" s="18"/>
      <c r="L211" s="174"/>
      <c r="M211" s="18"/>
      <c r="O211" s="318" t="str">
        <f>IFERROR(IF(L211="","",INDEX(ORÇAMENTO!C:C,MATCH(A211,ORÇAMENTO!A:A,0))),"")</f>
        <v/>
      </c>
      <c r="P211" s="93" t="str">
        <f>IFERROR(IF(L211="","",INDEX(ORÇAMENTO!D:D,MATCH(A211,ORÇAMENTO!A:A,0))),"")</f>
        <v/>
      </c>
    </row>
    <row r="212" spans="1:16" s="158" customFormat="1" ht="30" customHeight="1">
      <c r="A212" s="18"/>
      <c r="B212" s="335" t="s">
        <v>277</v>
      </c>
      <c r="C212" s="265">
        <v>187</v>
      </c>
      <c r="D212" s="265">
        <v>34</v>
      </c>
      <c r="E212" s="265">
        <v>7.0000000000000007E-2</v>
      </c>
      <c r="F212" s="265" t="s">
        <v>206</v>
      </c>
      <c r="G212" s="265" t="s">
        <v>206</v>
      </c>
      <c r="H212" s="265">
        <f>PRODUCT(C212:G212)</f>
        <v>445.06000000000006</v>
      </c>
      <c r="I212" s="18"/>
      <c r="J212" s="18"/>
      <c r="K212" s="18"/>
      <c r="L212" s="174"/>
      <c r="M212" s="18"/>
      <c r="O212" s="318" t="str">
        <f>IFERROR(IF(L212="","",INDEX(ORÇAMENTO!C:C,MATCH(A212,ORÇAMENTO!A:A,0))),"")</f>
        <v/>
      </c>
      <c r="P212" s="93" t="str">
        <f>IFERROR(IF(L212="","",INDEX(ORÇAMENTO!D:D,MATCH(A212,ORÇAMENTO!A:A,0))),"")</f>
        <v/>
      </c>
    </row>
    <row r="213" spans="1:16" s="158" customFormat="1">
      <c r="A213" s="18"/>
      <c r="B213" s="257"/>
      <c r="C213" s="16"/>
      <c r="D213" s="16"/>
      <c r="E213" s="19"/>
      <c r="F213" s="21"/>
      <c r="G213" s="21" t="s">
        <v>47</v>
      </c>
      <c r="H213" s="22">
        <f>SUM(H212:H212)</f>
        <v>445.06000000000006</v>
      </c>
      <c r="I213" s="19"/>
      <c r="J213" s="19"/>
      <c r="K213" s="19"/>
      <c r="L213" s="6"/>
      <c r="M213" s="19"/>
      <c r="O213" s="318" t="str">
        <f>IFERROR(IF(L213="","",INDEX(ORÇAMENTO!C:C,MATCH(A213,ORÇAMENTO!A:A,0))),"")</f>
        <v/>
      </c>
      <c r="P213" s="93" t="str">
        <f>IFERROR(IF(L213="","",INDEX(ORÇAMENTO!D:D,MATCH(A213,ORÇAMENTO!A:A,0))),"")</f>
        <v/>
      </c>
    </row>
    <row r="214" spans="1:16" s="158" customFormat="1" ht="30" customHeight="1">
      <c r="A214" s="233" t="s">
        <v>487</v>
      </c>
      <c r="B214" s="564" t="str">
        <f>INDEX(ORÇAMENTO!E:E,MATCH(A214,ORÇAMENTO!A:A,0))</f>
        <v>GUIA DE MADEIRA DE 2,5 x 7,0 cm - CONFECÇÃO E INSTALAÇÃO</v>
      </c>
      <c r="C214" s="565"/>
      <c r="D214" s="565"/>
      <c r="E214" s="565"/>
      <c r="F214" s="565"/>
      <c r="G214" s="565"/>
      <c r="H214" s="565"/>
      <c r="I214" s="565"/>
      <c r="J214" s="565"/>
      <c r="K214" s="566"/>
      <c r="L214" s="234">
        <f>ROUND(I219,2)</f>
        <v>821.37</v>
      </c>
      <c r="M214" s="233" t="str">
        <f>INDEX(ORÇAMENTO!F:F,MATCH(A214,ORÇAMENTO!A:A,0))</f>
        <v>m</v>
      </c>
      <c r="O214" s="318">
        <f>IFERROR(IF(L214="","",INDEX(ORÇAMENTO!C:C,MATCH(A214,ORÇAMENTO!A:A,0))),"")</f>
        <v>3108018</v>
      </c>
      <c r="P214" s="93" t="str">
        <f>IFERROR(IF(L214="","",INDEX(ORÇAMENTO!D:D,MATCH(A214,ORÇAMENTO!A:A,0))),"")</f>
        <v>SICRO</v>
      </c>
    </row>
    <row r="215" spans="1:16" s="158" customFormat="1" ht="30" customHeight="1">
      <c r="A215" s="187" t="s">
        <v>11</v>
      </c>
      <c r="B215" s="256"/>
      <c r="C215" s="60" t="s">
        <v>42</v>
      </c>
      <c r="D215" s="60" t="s">
        <v>41</v>
      </c>
      <c r="E215" s="60" t="s">
        <v>43</v>
      </c>
      <c r="F215" s="60" t="s">
        <v>44</v>
      </c>
      <c r="G215" s="60" t="s">
        <v>45</v>
      </c>
      <c r="H215" s="60" t="s">
        <v>46</v>
      </c>
      <c r="I215" s="188" t="s">
        <v>295</v>
      </c>
      <c r="J215" s="18"/>
      <c r="K215" s="18"/>
      <c r="L215" s="174"/>
      <c r="M215" s="18"/>
      <c r="O215" s="318" t="str">
        <f>IFERROR(IF(L215="","",INDEX(ORÇAMENTO!C:C,MATCH(A215,ORÇAMENTO!A:A,0))),"")</f>
        <v/>
      </c>
      <c r="P215" s="93" t="str">
        <f>IFERROR(IF(L215="","",INDEX(ORÇAMENTO!D:D,MATCH(A215,ORÇAMENTO!A:A,0))),"")</f>
        <v/>
      </c>
    </row>
    <row r="216" spans="1:16" s="158" customFormat="1" ht="30" customHeight="1">
      <c r="A216" s="18"/>
      <c r="B216" s="335" t="s">
        <v>308</v>
      </c>
      <c r="C216" s="265">
        <v>34</v>
      </c>
      <c r="D216" s="265" t="s">
        <v>206</v>
      </c>
      <c r="E216" s="265" t="s">
        <v>206</v>
      </c>
      <c r="F216" s="265">
        <f>INT((187/3)/2/3)+1</f>
        <v>11</v>
      </c>
      <c r="G216" s="265" t="s">
        <v>206</v>
      </c>
      <c r="H216" s="265" t="s">
        <v>206</v>
      </c>
      <c r="I216" s="265">
        <f>PRODUCT(C216:F216)</f>
        <v>374</v>
      </c>
      <c r="J216" s="18"/>
      <c r="K216" s="18"/>
      <c r="L216" s="174"/>
      <c r="M216" s="18"/>
      <c r="O216" s="318" t="str">
        <f>IFERROR(IF(L216="","",INDEX(ORÇAMENTO!C:C,MATCH(A216,ORÇAMENTO!A:A,0))),"")</f>
        <v/>
      </c>
      <c r="P216" s="93" t="str">
        <f>IFERROR(IF(L216="","",INDEX(ORÇAMENTO!D:D,MATCH(A216,ORÇAMENTO!A:A,0))),"")</f>
        <v/>
      </c>
    </row>
    <row r="217" spans="1:16" s="158" customFormat="1" ht="30" customHeight="1">
      <c r="A217" s="18"/>
      <c r="B217" s="335" t="s">
        <v>309</v>
      </c>
      <c r="C217" s="265">
        <v>187</v>
      </c>
      <c r="D217" s="265" t="s">
        <v>206</v>
      </c>
      <c r="E217" s="265" t="s">
        <v>206</v>
      </c>
      <c r="F217" s="265">
        <f>INT((34/3)/2/3)+1</f>
        <v>2</v>
      </c>
      <c r="G217" s="265" t="s">
        <v>206</v>
      </c>
      <c r="H217" s="265" t="s">
        <v>206</v>
      </c>
      <c r="I217" s="265">
        <f>PRODUCT(C217:F217)</f>
        <v>374</v>
      </c>
      <c r="J217" s="18"/>
      <c r="K217" s="18"/>
      <c r="L217" s="174"/>
      <c r="M217" s="18"/>
      <c r="O217" s="318" t="str">
        <f>IFERROR(IF(L217="","",INDEX(ORÇAMENTO!C:C,MATCH(A217,ORÇAMENTO!A:A,0))),"")</f>
        <v/>
      </c>
      <c r="P217" s="93" t="str">
        <f>IFERROR(IF(L217="","",INDEX(ORÇAMENTO!D:D,MATCH(A217,ORÇAMENTO!A:A,0))),"")</f>
        <v/>
      </c>
    </row>
    <row r="218" spans="1:16" s="158" customFormat="1" ht="30" customHeight="1">
      <c r="A218" s="18"/>
      <c r="B218" s="335" t="s">
        <v>310</v>
      </c>
      <c r="C218" s="265">
        <f>SQRT((1.5*3.7)^2+3.7^2)</f>
        <v>6.6702698596083811</v>
      </c>
      <c r="D218" s="265" t="s">
        <v>206</v>
      </c>
      <c r="E218" s="265" t="s">
        <v>206</v>
      </c>
      <c r="F218" s="265">
        <f>INT((187/3)/2/3)+1</f>
        <v>11</v>
      </c>
      <c r="G218" s="265" t="s">
        <v>206</v>
      </c>
      <c r="H218" s="265" t="s">
        <v>206</v>
      </c>
      <c r="I218" s="265">
        <f>PRODUCT(C218:F218)</f>
        <v>73.372968455692188</v>
      </c>
      <c r="J218" s="18"/>
      <c r="K218" s="18"/>
      <c r="L218" s="174"/>
      <c r="M218" s="18"/>
      <c r="O218" s="318" t="str">
        <f>IFERROR(IF(L218="","",INDEX(ORÇAMENTO!C:C,MATCH(A218,ORÇAMENTO!A:A,0))),"")</f>
        <v/>
      </c>
      <c r="P218" s="93" t="str">
        <f>IFERROR(IF(L218="","",INDEX(ORÇAMENTO!D:D,MATCH(A218,ORÇAMENTO!A:A,0))),"")</f>
        <v/>
      </c>
    </row>
    <row r="219" spans="1:16" s="158" customFormat="1">
      <c r="A219" s="18"/>
      <c r="B219" s="257"/>
      <c r="C219" s="16"/>
      <c r="D219" s="16"/>
      <c r="E219" s="19"/>
      <c r="F219" s="21"/>
      <c r="G219" s="21"/>
      <c r="H219" s="21" t="s">
        <v>47</v>
      </c>
      <c r="I219" s="22">
        <f>SUM(I216:I218)</f>
        <v>821.37296845569222</v>
      </c>
      <c r="J219" s="19"/>
      <c r="K219" s="19"/>
      <c r="L219" s="6"/>
      <c r="M219" s="19"/>
      <c r="O219" s="318" t="str">
        <f>IFERROR(IF(L219="","",INDEX(ORÇAMENTO!C:C,MATCH(A219,ORÇAMENTO!A:A,0))),"")</f>
        <v/>
      </c>
      <c r="P219" s="93" t="str">
        <f>IFERROR(IF(L219="","",INDEX(ORÇAMENTO!D:D,MATCH(A219,ORÇAMENTO!A:A,0))),"")</f>
        <v/>
      </c>
    </row>
    <row r="220" spans="1:16" s="158" customFormat="1" ht="30" customHeight="1">
      <c r="A220" s="233" t="s">
        <v>488</v>
      </c>
      <c r="B220" s="564" t="str">
        <f>INDEX(ORÇAMENTO!E:E,MATCH(A220,ORÇAMENTO!A:A,0))</f>
        <v>JUNTAS DE DILATAÇÃO</v>
      </c>
      <c r="C220" s="565"/>
      <c r="D220" s="565"/>
      <c r="E220" s="565"/>
      <c r="F220" s="565"/>
      <c r="G220" s="565"/>
      <c r="H220" s="565"/>
      <c r="I220" s="565"/>
      <c r="J220" s="565"/>
      <c r="K220" s="566"/>
      <c r="L220" s="234">
        <f>ROUND(I224,2)</f>
        <v>284.69</v>
      </c>
      <c r="M220" s="233" t="str">
        <f>INDEX(ORÇAMENTO!F:F,MATCH(A220,ORÇAMENTO!A:A,0))</f>
        <v>m</v>
      </c>
      <c r="O220" s="318" t="str">
        <f>IFERROR(IF(L220="","",INDEX(ORÇAMENTO!C:C,MATCH(A220,ORÇAMENTO!A:A,0))),"")</f>
        <v>COMP5 - SICRO 3108018</v>
      </c>
      <c r="P220" s="93">
        <f>IFERROR(IF(L220="","",INDEX(ORÇAMENTO!D:D,MATCH(A220,ORÇAMENTO!A:A,0))),"")</f>
        <v>0</v>
      </c>
    </row>
    <row r="221" spans="1:16" s="158" customFormat="1" ht="30" customHeight="1">
      <c r="A221" s="187" t="s">
        <v>11</v>
      </c>
      <c r="B221" s="256"/>
      <c r="C221" s="60" t="s">
        <v>42</v>
      </c>
      <c r="D221" s="60" t="s">
        <v>41</v>
      </c>
      <c r="E221" s="60" t="s">
        <v>43</v>
      </c>
      <c r="F221" s="60" t="s">
        <v>44</v>
      </c>
      <c r="G221" s="60" t="s">
        <v>45</v>
      </c>
      <c r="H221" s="60" t="s">
        <v>46</v>
      </c>
      <c r="I221" s="188" t="s">
        <v>295</v>
      </c>
      <c r="J221" s="18"/>
      <c r="K221" s="18"/>
      <c r="L221" s="174"/>
      <c r="M221" s="18"/>
      <c r="O221" s="318" t="str">
        <f>IFERROR(IF(L221="","",INDEX(ORÇAMENTO!C:C,MATCH(A221,ORÇAMENTO!A:A,0))),"")</f>
        <v/>
      </c>
      <c r="P221" s="93" t="str">
        <f>IFERROR(IF(L221="","",INDEX(ORÇAMENTO!D:D,MATCH(A221,ORÇAMENTO!A:A,0))),"")</f>
        <v/>
      </c>
    </row>
    <row r="222" spans="1:16" s="158" customFormat="1" ht="30" customHeight="1">
      <c r="A222" s="18"/>
      <c r="B222" s="335" t="s">
        <v>311</v>
      </c>
      <c r="C222" s="265">
        <v>34</v>
      </c>
      <c r="D222" s="265" t="s">
        <v>206</v>
      </c>
      <c r="E222" s="265" t="s">
        <v>206</v>
      </c>
      <c r="F222" s="265">
        <f>INT(187/30)+1</f>
        <v>7</v>
      </c>
      <c r="G222" s="265" t="s">
        <v>206</v>
      </c>
      <c r="H222" s="265" t="s">
        <v>206</v>
      </c>
      <c r="I222" s="265">
        <f>PRODUCT(C222:F222)</f>
        <v>238</v>
      </c>
      <c r="J222" s="18"/>
      <c r="K222" s="18"/>
      <c r="L222" s="174"/>
      <c r="M222" s="18"/>
      <c r="O222" s="318" t="str">
        <f>IFERROR(IF(L222="","",INDEX(ORÇAMENTO!C:C,MATCH(A222,ORÇAMENTO!A:A,0))),"")</f>
        <v/>
      </c>
      <c r="P222" s="93" t="str">
        <f>IFERROR(IF(L222="","",INDEX(ORÇAMENTO!D:D,MATCH(A222,ORÇAMENTO!A:A,0))),"")</f>
        <v/>
      </c>
    </row>
    <row r="223" spans="1:16" s="158" customFormat="1" ht="30" customHeight="1">
      <c r="A223" s="18"/>
      <c r="B223" s="335" t="s">
        <v>312</v>
      </c>
      <c r="C223" s="265">
        <f>SQRT((1.5*3.7)^2+3.7^2)</f>
        <v>6.6702698596083811</v>
      </c>
      <c r="D223" s="265" t="s">
        <v>206</v>
      </c>
      <c r="E223" s="265" t="s">
        <v>206</v>
      </c>
      <c r="F223" s="265">
        <f>INT(187/30)+1</f>
        <v>7</v>
      </c>
      <c r="G223" s="265" t="s">
        <v>206</v>
      </c>
      <c r="H223" s="265" t="s">
        <v>206</v>
      </c>
      <c r="I223" s="265">
        <f>PRODUCT(C223:F223)</f>
        <v>46.691889017258667</v>
      </c>
      <c r="J223" s="18"/>
      <c r="K223" s="18"/>
      <c r="L223" s="174"/>
      <c r="M223" s="18"/>
      <c r="O223" s="318" t="str">
        <f>IFERROR(IF(L223="","",INDEX(ORÇAMENTO!C:C,MATCH(A223,ORÇAMENTO!A:A,0))),"")</f>
        <v/>
      </c>
      <c r="P223" s="93" t="str">
        <f>IFERROR(IF(L223="","",INDEX(ORÇAMENTO!D:D,MATCH(A223,ORÇAMENTO!A:A,0))),"")</f>
        <v/>
      </c>
    </row>
    <row r="224" spans="1:16" s="158" customFormat="1">
      <c r="A224" s="18"/>
      <c r="B224" s="257"/>
      <c r="C224" s="16"/>
      <c r="D224" s="16"/>
      <c r="E224" s="19"/>
      <c r="F224" s="21"/>
      <c r="G224" s="21"/>
      <c r="H224" s="21" t="s">
        <v>47</v>
      </c>
      <c r="I224" s="22">
        <f>SUM(I222:I223)</f>
        <v>284.69188901725869</v>
      </c>
      <c r="J224" s="19"/>
      <c r="K224" s="19"/>
      <c r="L224" s="6"/>
      <c r="M224" s="19"/>
      <c r="O224" s="318" t="str">
        <f>IFERROR(IF(L224="","",INDEX(ORÇAMENTO!C:C,MATCH(A224,ORÇAMENTO!A:A,0))),"")</f>
        <v/>
      </c>
      <c r="P224" s="93" t="str">
        <f>IFERROR(IF(L224="","",INDEX(ORÇAMENTO!D:D,MATCH(A224,ORÇAMENTO!A:A,0))),"")</f>
        <v/>
      </c>
    </row>
    <row r="225" spans="1:16" s="158" customFormat="1" ht="30" customHeight="1">
      <c r="A225" s="278" t="s">
        <v>429</v>
      </c>
      <c r="B225" s="576" t="str">
        <f>INDEX(ORÇAMENTO!E:E,MATCH(A225,ORÇAMENTO!A:A,0))</f>
        <v>ACESSOS</v>
      </c>
      <c r="C225" s="577"/>
      <c r="D225" s="577"/>
      <c r="E225" s="577"/>
      <c r="F225" s="577"/>
      <c r="G225" s="577"/>
      <c r="H225" s="577"/>
      <c r="I225" s="577"/>
      <c r="J225" s="577"/>
      <c r="K225" s="577"/>
      <c r="L225" s="577"/>
      <c r="M225" s="578"/>
      <c r="O225" s="318" t="str">
        <f>IFERROR(IF(L225="","",INDEX(ORÇAMENTO!C:C,MATCH(A225,ORÇAMENTO!A:A,0))),"")</f>
        <v/>
      </c>
      <c r="P225" s="93" t="str">
        <f>IFERROR(IF(L225="","",INDEX(ORÇAMENTO!D:D,MATCH(A225,ORÇAMENTO!A:A,0))),"")</f>
        <v/>
      </c>
    </row>
    <row r="226" spans="1:16" s="158" customFormat="1" ht="30" customHeight="1">
      <c r="A226" s="233" t="s">
        <v>495</v>
      </c>
      <c r="B226" s="564" t="str">
        <f>INDEX(ORÇAMENTO!E:E,MATCH(A226,ORÇAMENTO!A:A,0))</f>
        <v>ESCAVAÇÃO, CARGA E TRANSPORTE DE MATERIAL DE 1ª CATEGORIA NA DISTÂNCIA DE 3.000 m - CAMINHO DE SERVIÇO EM LEITO NATURAL - COM ESCAVADEIRA E CAMINHÃO BASCULANTE DE 14 m³</v>
      </c>
      <c r="C226" s="565"/>
      <c r="D226" s="565"/>
      <c r="E226" s="565"/>
      <c r="F226" s="565"/>
      <c r="G226" s="565"/>
      <c r="H226" s="565"/>
      <c r="I226" s="565"/>
      <c r="J226" s="565"/>
      <c r="K226" s="566"/>
      <c r="L226" s="234">
        <f>ROUND(H230,2)</f>
        <v>421.8</v>
      </c>
      <c r="M226" s="233" t="str">
        <f>INDEX(ORÇAMENTO!F:F,MATCH(A226,ORÇAMENTO!A:A,0))</f>
        <v>m³</v>
      </c>
      <c r="O226" s="318">
        <f>IFERROR(IF(L226="","",INDEX(ORÇAMENTO!C:C,MATCH(A226,ORÇAMENTO!A:A,0))),"")</f>
        <v>5502834</v>
      </c>
      <c r="P226" s="93" t="str">
        <f>IFERROR(IF(L226="","",INDEX(ORÇAMENTO!D:D,MATCH(A226,ORÇAMENTO!A:A,0))),"")</f>
        <v>SICRO</v>
      </c>
    </row>
    <row r="227" spans="1:16" s="158" customFormat="1" ht="30" customHeight="1">
      <c r="A227" s="187" t="s">
        <v>11</v>
      </c>
      <c r="B227" s="256"/>
      <c r="C227" s="60" t="s">
        <v>42</v>
      </c>
      <c r="D227" s="60" t="s">
        <v>41</v>
      </c>
      <c r="E227" s="60" t="s">
        <v>43</v>
      </c>
      <c r="F227" s="60" t="s">
        <v>44</v>
      </c>
      <c r="G227" s="60" t="s">
        <v>45</v>
      </c>
      <c r="H227" s="60" t="s">
        <v>46</v>
      </c>
      <c r="I227" s="18"/>
      <c r="J227" s="18"/>
      <c r="K227" s="18"/>
      <c r="L227" s="174"/>
      <c r="M227" s="18"/>
      <c r="O227" s="318" t="str">
        <f>IFERROR(IF(L227="","",INDEX(ORÇAMENTO!C:C,MATCH(A227,ORÇAMENTO!A:A,0))),"")</f>
        <v/>
      </c>
      <c r="P227" s="93" t="str">
        <f>IFERROR(IF(L227="","",INDEX(ORÇAMENTO!D:D,MATCH(A227,ORÇAMENTO!A:A,0))),"")</f>
        <v/>
      </c>
    </row>
    <row r="228" spans="1:16" s="158" customFormat="1" ht="30" customHeight="1">
      <c r="A228" s="18"/>
      <c r="B228" s="335" t="s">
        <v>262</v>
      </c>
      <c r="C228" s="265">
        <f>((5.5+4+5.5)+4)/2</f>
        <v>9.5</v>
      </c>
      <c r="D228" s="265">
        <v>6</v>
      </c>
      <c r="E228" s="265">
        <v>3.7</v>
      </c>
      <c r="F228" s="265" t="s">
        <v>206</v>
      </c>
      <c r="G228" s="265" t="s">
        <v>206</v>
      </c>
      <c r="H228" s="265">
        <f>PRODUCT(C228:G228)</f>
        <v>210.9</v>
      </c>
      <c r="I228" s="18"/>
      <c r="J228" s="18"/>
      <c r="K228" s="18"/>
      <c r="L228" s="174"/>
      <c r="M228" s="18"/>
      <c r="O228" s="318" t="str">
        <f>IFERROR(IF(L228="","",INDEX(ORÇAMENTO!C:C,MATCH(A228,ORÇAMENTO!A:A,0))),"")</f>
        <v/>
      </c>
      <c r="P228" s="93" t="str">
        <f>IFERROR(IF(L228="","",INDEX(ORÇAMENTO!D:D,MATCH(A228,ORÇAMENTO!A:A,0))),"")</f>
        <v/>
      </c>
    </row>
    <row r="229" spans="1:16" s="158" customFormat="1" ht="30" customHeight="1">
      <c r="A229" s="18"/>
      <c r="B229" s="335" t="s">
        <v>263</v>
      </c>
      <c r="C229" s="265">
        <f>((5.5+4+5.5)+4)/2</f>
        <v>9.5</v>
      </c>
      <c r="D229" s="265">
        <v>6</v>
      </c>
      <c r="E229" s="265">
        <v>3.7</v>
      </c>
      <c r="F229" s="265" t="s">
        <v>206</v>
      </c>
      <c r="G229" s="265" t="s">
        <v>206</v>
      </c>
      <c r="H229" s="265">
        <f>PRODUCT(C229:G229)</f>
        <v>210.9</v>
      </c>
      <c r="I229" s="18"/>
      <c r="J229" s="18"/>
      <c r="K229" s="18"/>
      <c r="L229" s="174"/>
      <c r="M229" s="18"/>
      <c r="O229" s="318" t="str">
        <f>IFERROR(IF(L229="","",INDEX(ORÇAMENTO!C:C,MATCH(A229,ORÇAMENTO!A:A,0))),"")</f>
        <v/>
      </c>
      <c r="P229" s="93" t="str">
        <f>IFERROR(IF(L229="","",INDEX(ORÇAMENTO!D:D,MATCH(A229,ORÇAMENTO!A:A,0))),"")</f>
        <v/>
      </c>
    </row>
    <row r="230" spans="1:16" s="158" customFormat="1">
      <c r="A230" s="18"/>
      <c r="B230" s="257"/>
      <c r="C230" s="16"/>
      <c r="D230" s="16"/>
      <c r="E230" s="19"/>
      <c r="F230" s="21"/>
      <c r="G230" s="21" t="s">
        <v>47</v>
      </c>
      <c r="H230" s="22">
        <f>SUM(H228:H229)</f>
        <v>421.8</v>
      </c>
      <c r="I230" s="19"/>
      <c r="J230" s="19"/>
      <c r="K230" s="19"/>
      <c r="L230" s="6"/>
      <c r="M230" s="19"/>
      <c r="O230" s="318" t="str">
        <f>IFERROR(IF(L230="","",INDEX(ORÇAMENTO!C:C,MATCH(A230,ORÇAMENTO!A:A,0))),"")</f>
        <v/>
      </c>
      <c r="P230" s="93" t="str">
        <f>IFERROR(IF(L230="","",INDEX(ORÇAMENTO!D:D,MATCH(A230,ORÇAMENTO!A:A,0))),"")</f>
        <v/>
      </c>
    </row>
    <row r="231" spans="1:16" s="158" customFormat="1" ht="30" customHeight="1">
      <c r="A231" s="272">
        <v>6</v>
      </c>
      <c r="B231" s="273" t="str">
        <f>INDEX(ORÇAMENTO!E:E,MATCH(A231,ORÇAMENTO!A:A,0))</f>
        <v>IMPERMEABILIZAÇÃO DA BERMA DE O&amp;M DO FOREBAY</v>
      </c>
      <c r="C231" s="274"/>
      <c r="D231" s="274"/>
      <c r="E231" s="274"/>
      <c r="F231" s="274"/>
      <c r="G231" s="274"/>
      <c r="H231" s="274"/>
      <c r="I231" s="274"/>
      <c r="J231" s="274"/>
      <c r="K231" s="274"/>
      <c r="L231" s="274"/>
      <c r="M231" s="275"/>
      <c r="O231" s="318" t="str">
        <f>IFERROR(IF(L231="","",INDEX(ORÇAMENTO!C:C,MATCH(A231,ORÇAMENTO!A:A,0))),"")</f>
        <v/>
      </c>
      <c r="P231" s="93" t="str">
        <f>IFERROR(IF(L231="","",INDEX(ORÇAMENTO!D:D,MATCH(A231,ORÇAMENTO!A:A,0))),"")</f>
        <v/>
      </c>
    </row>
    <row r="232" spans="1:16" s="158" customFormat="1" ht="30" customHeight="1">
      <c r="A232" s="278" t="s">
        <v>430</v>
      </c>
      <c r="B232" s="576" t="str">
        <f>INDEX(ORÇAMENTO!E:E,MATCH(A232,ORÇAMENTO!A:A,0))</f>
        <v xml:space="preserve"> CAMADA DE SUB-BASE</v>
      </c>
      <c r="C232" s="577"/>
      <c r="D232" s="577"/>
      <c r="E232" s="577"/>
      <c r="F232" s="577"/>
      <c r="G232" s="577"/>
      <c r="H232" s="577"/>
      <c r="I232" s="577"/>
      <c r="J232" s="577"/>
      <c r="K232" s="577"/>
      <c r="L232" s="577"/>
      <c r="M232" s="578"/>
      <c r="O232" s="318" t="str">
        <f>IFERROR(IF(L232="","",INDEX(ORÇAMENTO!C:C,MATCH(A232,ORÇAMENTO!A:A,0))),"")</f>
        <v/>
      </c>
      <c r="P232" s="93" t="str">
        <f>IFERROR(IF(L232="","",INDEX(ORÇAMENTO!D:D,MATCH(A232,ORÇAMENTO!A:A,0))),"")</f>
        <v/>
      </c>
    </row>
    <row r="233" spans="1:16" s="158" customFormat="1" ht="35.25" customHeight="1">
      <c r="A233" s="233" t="s">
        <v>496</v>
      </c>
      <c r="B233" s="564" t="str">
        <f>INDEX(ORÇAMENTO!E:E,MATCH(A233,ORÇAMENTO!A:A,0))</f>
        <v>ESCAVAÇÃO, CARGA E TRANSPORTE DE MATERIAL DE 1ª CATEGORIA NA DISTÂNCIA DE 3.000 m - CAMINHO DE SERVIÇO EM LEITO NATURAL - COM ESCAVADEIRA E CAMINHÃO BASCULANTE DE 14 m³</v>
      </c>
      <c r="C233" s="565"/>
      <c r="D233" s="565"/>
      <c r="E233" s="565"/>
      <c r="F233" s="565"/>
      <c r="G233" s="565"/>
      <c r="H233" s="565"/>
      <c r="I233" s="565"/>
      <c r="J233" s="565"/>
      <c r="K233" s="566"/>
      <c r="L233" s="234">
        <f>ROUND(H239,2)</f>
        <v>2477.46</v>
      </c>
      <c r="M233" s="233" t="str">
        <f>INDEX(ORÇAMENTO!F:F,MATCH(A233,ORÇAMENTO!A:A,0))</f>
        <v>m³</v>
      </c>
      <c r="O233" s="318">
        <f>IFERROR(IF(L233="","",INDEX(ORÇAMENTO!C:C,MATCH(A233,ORÇAMENTO!A:A,0))),"")</f>
        <v>5502834</v>
      </c>
      <c r="P233" s="93" t="str">
        <f>IFERROR(IF(L233="","",INDEX(ORÇAMENTO!D:D,MATCH(A233,ORÇAMENTO!A:A,0))),"")</f>
        <v>SICRO</v>
      </c>
    </row>
    <row r="234" spans="1:16" s="158" customFormat="1" ht="30" customHeight="1">
      <c r="A234" s="260" t="s">
        <v>11</v>
      </c>
      <c r="B234" s="261"/>
      <c r="C234" s="262" t="s">
        <v>42</v>
      </c>
      <c r="D234" s="262" t="s">
        <v>41</v>
      </c>
      <c r="E234" s="262" t="s">
        <v>43</v>
      </c>
      <c r="F234" s="262" t="s">
        <v>44</v>
      </c>
      <c r="G234" s="262" t="s">
        <v>45</v>
      </c>
      <c r="H234" s="262" t="s">
        <v>46</v>
      </c>
      <c r="I234" s="261"/>
      <c r="J234" s="261"/>
      <c r="K234" s="261"/>
      <c r="L234" s="236"/>
      <c r="M234" s="261"/>
      <c r="O234" s="318" t="str">
        <f>IFERROR(IF(L234="","",INDEX(ORÇAMENTO!C:C,MATCH(A234,ORÇAMENTO!A:A,0))),"")</f>
        <v/>
      </c>
      <c r="P234" s="93" t="str">
        <f>IFERROR(IF(L234="","",INDEX(ORÇAMENTO!D:D,MATCH(A234,ORÇAMENTO!A:A,0))),"")</f>
        <v/>
      </c>
    </row>
    <row r="235" spans="1:16" s="158" customFormat="1" ht="45" customHeight="1">
      <c r="A235" s="261"/>
      <c r="B235" s="345" t="s">
        <v>580</v>
      </c>
      <c r="C235" s="265" t="s">
        <v>206</v>
      </c>
      <c r="D235" s="265" t="s">
        <v>206</v>
      </c>
      <c r="E235" s="265">
        <f xml:space="preserve"> 0.25*70%</f>
        <v>0.17499999999999999</v>
      </c>
      <c r="F235" s="265" t="s">
        <v>206</v>
      </c>
      <c r="G235" s="265">
        <v>3303.28</v>
      </c>
      <c r="H235" s="265">
        <f>PRODUCT(C235:G235)</f>
        <v>578.07399999999996</v>
      </c>
      <c r="I235" s="261"/>
      <c r="J235" s="261"/>
      <c r="K235" s="261"/>
      <c r="L235" s="236"/>
      <c r="M235" s="261"/>
      <c r="O235" s="318" t="str">
        <f>IFERROR(IF(L235="","",INDEX(ORÇAMENTO!C:C,MATCH(A235,ORÇAMENTO!A:A,0))),"")</f>
        <v/>
      </c>
      <c r="P235" s="93" t="str">
        <f>IFERROR(IF(L235="","",INDEX(ORÇAMENTO!D:D,MATCH(A235,ORÇAMENTO!A:A,0))),"")</f>
        <v/>
      </c>
    </row>
    <row r="236" spans="1:16" s="158" customFormat="1" ht="30" customHeight="1">
      <c r="A236" s="261"/>
      <c r="B236" s="345" t="s">
        <v>579</v>
      </c>
      <c r="C236" s="265" t="s">
        <v>206</v>
      </c>
      <c r="D236" s="265" t="s">
        <v>206</v>
      </c>
      <c r="E236" s="265">
        <f xml:space="preserve"> 0.25*30%</f>
        <v>7.4999999999999997E-2</v>
      </c>
      <c r="F236" s="265" t="s">
        <v>206</v>
      </c>
      <c r="G236" s="265">
        <v>3303.28</v>
      </c>
      <c r="H236" s="265">
        <f>PRODUCT(C236:G236)</f>
        <v>247.74600000000001</v>
      </c>
      <c r="I236" s="261"/>
      <c r="J236" s="261"/>
      <c r="K236" s="261"/>
      <c r="L236" s="236"/>
      <c r="M236" s="261"/>
      <c r="O236" s="318" t="str">
        <f>IFERROR(IF(L236="","",INDEX(ORÇAMENTO!C:C,MATCH(A236,ORÇAMENTO!A:A,0))),"")</f>
        <v/>
      </c>
      <c r="P236" s="93" t="str">
        <f>IFERROR(IF(L236="","",INDEX(ORÇAMENTO!D:D,MATCH(A236,ORÇAMENTO!A:A,0))),"")</f>
        <v/>
      </c>
    </row>
    <row r="237" spans="1:16" s="158" customFormat="1" ht="30" customHeight="1">
      <c r="A237" s="261"/>
      <c r="B237" s="345" t="s">
        <v>579</v>
      </c>
      <c r="C237" s="265" t="s">
        <v>206</v>
      </c>
      <c r="D237" s="265" t="s">
        <v>206</v>
      </c>
      <c r="E237" s="265">
        <v>0.25</v>
      </c>
      <c r="F237" s="265" t="s">
        <v>206</v>
      </c>
      <c r="G237" s="265">
        <v>3303.28</v>
      </c>
      <c r="H237" s="265">
        <f>PRODUCT(C237:G237)</f>
        <v>825.82</v>
      </c>
      <c r="I237" s="261"/>
      <c r="J237" s="261"/>
      <c r="K237" s="261"/>
      <c r="L237" s="236"/>
      <c r="M237" s="261"/>
      <c r="O237" s="318" t="str">
        <f>IFERROR(IF(L237="","",INDEX(ORÇAMENTO!C:C,MATCH(A237,ORÇAMENTO!A:A,0))),"")</f>
        <v/>
      </c>
      <c r="P237" s="93" t="str">
        <f>IFERROR(IF(L237="","",INDEX(ORÇAMENTO!D:D,MATCH(A237,ORÇAMENTO!A:A,0))),"")</f>
        <v/>
      </c>
    </row>
    <row r="238" spans="1:16" s="158" customFormat="1" ht="25.5">
      <c r="A238" s="261"/>
      <c r="B238" s="345" t="s">
        <v>388</v>
      </c>
      <c r="C238" s="265" t="s">
        <v>206</v>
      </c>
      <c r="D238" s="265" t="s">
        <v>206</v>
      </c>
      <c r="E238" s="265">
        <v>0.25</v>
      </c>
      <c r="F238" s="265" t="s">
        <v>206</v>
      </c>
      <c r="G238" s="265">
        <v>3303.28</v>
      </c>
      <c r="H238" s="265">
        <f>PRODUCT(C238:G238)</f>
        <v>825.82</v>
      </c>
      <c r="I238" s="261"/>
      <c r="J238" s="261"/>
      <c r="K238" s="261"/>
      <c r="L238" s="236"/>
      <c r="M238" s="261"/>
      <c r="O238" s="318" t="str">
        <f>IFERROR(IF(L238="","",INDEX(ORÇAMENTO!C:C,MATCH(A238,ORÇAMENTO!A:A,0))),"")</f>
        <v/>
      </c>
      <c r="P238" s="93" t="str">
        <f>IFERROR(IF(L238="","",INDEX(ORÇAMENTO!D:D,MATCH(A238,ORÇAMENTO!A:A,0))),"")</f>
        <v/>
      </c>
    </row>
    <row r="239" spans="1:16" s="158" customFormat="1">
      <c r="A239" s="261"/>
      <c r="B239" s="266"/>
      <c r="C239" s="267"/>
      <c r="D239" s="267"/>
      <c r="E239" s="268"/>
      <c r="F239" s="269"/>
      <c r="G239" s="269" t="s">
        <v>47</v>
      </c>
      <c r="H239" s="270">
        <f>SUM(H235:H238)</f>
        <v>2477.46</v>
      </c>
      <c r="K239" s="268"/>
      <c r="L239" s="271"/>
      <c r="M239" s="268"/>
      <c r="O239" s="318" t="str">
        <f>IFERROR(IF(L239="","",INDEX(ORÇAMENTO!C:C,MATCH(A239,ORÇAMENTO!A:A,0))),"")</f>
        <v/>
      </c>
      <c r="P239" s="93" t="str">
        <f>IFERROR(IF(L239="","",INDEX(ORÇAMENTO!D:D,MATCH(A239,ORÇAMENTO!A:A,0))),"")</f>
        <v/>
      </c>
    </row>
    <row r="240" spans="1:16" s="158" customFormat="1" ht="35.25" customHeight="1">
      <c r="A240" s="233" t="s">
        <v>497</v>
      </c>
      <c r="B240" s="564" t="str">
        <f>INDEX(ORÇAMENTO!E:E,MATCH(A240,ORÇAMENTO!A:A,0))</f>
        <v>SUB-BASE ESTABILIZADA GRANULOMETRICAMENTE COM MISTURA DE SOLOS NA PISTA COM MATERIAL DE JAZIDA</v>
      </c>
      <c r="C240" s="565"/>
      <c r="D240" s="565"/>
      <c r="E240" s="565"/>
      <c r="F240" s="565"/>
      <c r="G240" s="565"/>
      <c r="H240" s="565"/>
      <c r="I240" s="565"/>
      <c r="J240" s="565"/>
      <c r="K240" s="566"/>
      <c r="L240" s="234">
        <f>ROUND(J243,2)</f>
        <v>1032.28</v>
      </c>
      <c r="M240" s="233" t="str">
        <f>INDEX(ORÇAMENTO!F:F,MATCH(A240,ORÇAMENTO!A:A,0))</f>
        <v>m³</v>
      </c>
      <c r="O240" s="318">
        <f>IFERROR(IF(L240="","",INDEX(ORÇAMENTO!C:C,MATCH(A240,ORÇAMENTO!A:A,0))),"")</f>
        <v>4011228</v>
      </c>
      <c r="P240" s="93" t="str">
        <f>IFERROR(IF(L240="","",INDEX(ORÇAMENTO!D:D,MATCH(A240,ORÇAMENTO!A:A,0))),"")</f>
        <v>SICRO</v>
      </c>
    </row>
    <row r="241" spans="1:19" s="158" customFormat="1" ht="38.25">
      <c r="A241" s="260" t="s">
        <v>11</v>
      </c>
      <c r="B241" s="261"/>
      <c r="C241" s="262" t="s">
        <v>42</v>
      </c>
      <c r="D241" s="262" t="s">
        <v>41</v>
      </c>
      <c r="E241" s="262" t="s">
        <v>43</v>
      </c>
      <c r="F241" s="262" t="s">
        <v>44</v>
      </c>
      <c r="G241" s="262" t="s">
        <v>45</v>
      </c>
      <c r="H241" s="262" t="s">
        <v>46</v>
      </c>
      <c r="I241" s="263" t="s">
        <v>172</v>
      </c>
      <c r="J241" s="264" t="s">
        <v>269</v>
      </c>
      <c r="K241" s="261"/>
      <c r="L241" s="236"/>
      <c r="M241" s="261"/>
      <c r="O241" s="318" t="str">
        <f>IFERROR(IF(L241="","",INDEX(ORÇAMENTO!C:C,MATCH(A241,ORÇAMENTO!A:A,0))),"")</f>
        <v/>
      </c>
      <c r="P241" s="93" t="str">
        <f>IFERROR(IF(L241="","",INDEX(ORÇAMENTO!D:D,MATCH(A241,ORÇAMENTO!A:A,0))),"")</f>
        <v/>
      </c>
    </row>
    <row r="242" spans="1:19" s="158" customFormat="1" ht="30" customHeight="1">
      <c r="A242" s="261"/>
      <c r="B242" s="345" t="s">
        <v>389</v>
      </c>
      <c r="C242" s="265" t="str">
        <f>C235</f>
        <v>-</v>
      </c>
      <c r="D242" s="265" t="str">
        <f>D235</f>
        <v>-</v>
      </c>
      <c r="E242" s="265">
        <v>0.25</v>
      </c>
      <c r="F242" s="265" t="s">
        <v>206</v>
      </c>
      <c r="G242" s="265">
        <v>3303.28</v>
      </c>
      <c r="H242" s="265">
        <f>PRODUCT(C242:G242)</f>
        <v>825.82</v>
      </c>
      <c r="I242" s="265">
        <v>1.25</v>
      </c>
      <c r="J242" s="265">
        <f>H242*I242</f>
        <v>1032.2750000000001</v>
      </c>
      <c r="K242" s="261"/>
      <c r="L242" s="236"/>
      <c r="M242" s="261"/>
      <c r="O242" s="318" t="str">
        <f>IFERROR(IF(L242="","",INDEX(ORÇAMENTO!C:C,MATCH(A242,ORÇAMENTO!A:A,0))),"")</f>
        <v/>
      </c>
      <c r="P242" s="93" t="str">
        <f>IFERROR(IF(L242="","",INDEX(ORÇAMENTO!D:D,MATCH(A242,ORÇAMENTO!A:A,0))),"")</f>
        <v/>
      </c>
    </row>
    <row r="243" spans="1:19" s="158" customFormat="1">
      <c r="A243" s="261"/>
      <c r="B243" s="266"/>
      <c r="C243" s="267"/>
      <c r="D243" s="267"/>
      <c r="E243" s="268"/>
      <c r="F243" s="269"/>
      <c r="G243" s="269"/>
      <c r="H243" s="269"/>
      <c r="I243" s="269" t="s">
        <v>47</v>
      </c>
      <c r="J243" s="270">
        <f>SUM(J242:J242)</f>
        <v>1032.2750000000001</v>
      </c>
      <c r="K243" s="268"/>
      <c r="L243" s="271"/>
      <c r="M243" s="268"/>
      <c r="O243" s="318" t="str">
        <f>IFERROR(IF(L243="","",INDEX(ORÇAMENTO!C:C,MATCH(A243,ORÇAMENTO!A:A,0))),"")</f>
        <v/>
      </c>
      <c r="P243" s="93" t="str">
        <f>IFERROR(IF(L243="","",INDEX(ORÇAMENTO!D:D,MATCH(A243,ORÇAMENTO!A:A,0))),"")</f>
        <v/>
      </c>
    </row>
    <row r="244" spans="1:19" s="158" customFormat="1" ht="30" customHeight="1">
      <c r="A244" s="278" t="s">
        <v>431</v>
      </c>
      <c r="B244" s="576" t="str">
        <f>INDEX(ORÇAMENTO!E:E,MATCH(A244,ORÇAMENTO!A:A,0))</f>
        <v>CAMADA DE BASE</v>
      </c>
      <c r="C244" s="577"/>
      <c r="D244" s="577"/>
      <c r="E244" s="577"/>
      <c r="F244" s="577"/>
      <c r="G244" s="577"/>
      <c r="H244" s="577"/>
      <c r="I244" s="577"/>
      <c r="J244" s="577"/>
      <c r="K244" s="577"/>
      <c r="L244" s="577"/>
      <c r="M244" s="578"/>
      <c r="O244" s="318" t="str">
        <f>IFERROR(IF(L244="","",INDEX(ORÇAMENTO!C:C,MATCH(A244,ORÇAMENTO!A:A,0))),"")</f>
        <v/>
      </c>
      <c r="P244" s="93" t="str">
        <f>IFERROR(IF(L244="","",INDEX(ORÇAMENTO!D:D,MATCH(A244,ORÇAMENTO!A:A,0))),"")</f>
        <v/>
      </c>
    </row>
    <row r="245" spans="1:19" s="158" customFormat="1" ht="30" customHeight="1">
      <c r="A245" s="233" t="s">
        <v>498</v>
      </c>
      <c r="B245" s="564" t="str">
        <f>INDEX(ORÇAMENTO!E:E,MATCH(A245,ORÇAMENTO!A:A,0))</f>
        <v>CARGA, MANOBRA E DESCARGA DE AGREGADOS OU SOLOS EM CAMINHÃO BASCULANTE DE 14 m³ - CARGA COM CARREGADEIRA DE 3,40 m³ E DESCARGA LIVRE</v>
      </c>
      <c r="C245" s="565"/>
      <c r="D245" s="565"/>
      <c r="E245" s="565"/>
      <c r="F245" s="565"/>
      <c r="G245" s="565"/>
      <c r="H245" s="565"/>
      <c r="I245" s="565"/>
      <c r="J245" s="565"/>
      <c r="K245" s="566"/>
      <c r="L245" s="234">
        <f>ROUND(H248,2)</f>
        <v>578.07000000000005</v>
      </c>
      <c r="M245" s="233" t="str">
        <f>INDEX(ORÇAMENTO!F:F,MATCH(A245,ORÇAMENTO!A:A,0))</f>
        <v>m³</v>
      </c>
      <c r="O245" s="318">
        <f>IFERROR(IF(L245="","",INDEX(ORÇAMENTO!C:C,MATCH(A245,ORÇAMENTO!A:A,0))),"")</f>
        <v>5914351</v>
      </c>
      <c r="P245" s="93" t="str">
        <f>IFERROR(IF(L245="","",INDEX(ORÇAMENTO!D:D,MATCH(A245,ORÇAMENTO!A:A,0))),"")</f>
        <v>SICRO</v>
      </c>
    </row>
    <row r="246" spans="1:19" s="158" customFormat="1" ht="30" customHeight="1">
      <c r="A246" s="260" t="s">
        <v>11</v>
      </c>
      <c r="B246" s="261"/>
      <c r="C246" s="262" t="s">
        <v>42</v>
      </c>
      <c r="D246" s="262" t="s">
        <v>41</v>
      </c>
      <c r="E246" s="262" t="s">
        <v>43</v>
      </c>
      <c r="F246" s="262" t="s">
        <v>44</v>
      </c>
      <c r="G246" s="262" t="s">
        <v>45</v>
      </c>
      <c r="H246" s="262" t="s">
        <v>46</v>
      </c>
      <c r="I246" s="261"/>
      <c r="J246" s="261"/>
      <c r="K246" s="261"/>
      <c r="L246" s="236"/>
      <c r="M246" s="261"/>
      <c r="O246" s="318" t="str">
        <f>IFERROR(IF(L246="","",INDEX(ORÇAMENTO!C:C,MATCH(A246,ORÇAMENTO!A:A,0))),"")</f>
        <v/>
      </c>
      <c r="P246" s="93" t="str">
        <f>IFERROR(IF(L246="","",INDEX(ORÇAMENTO!D:D,MATCH(A246,ORÇAMENTO!A:A,0))),"")</f>
        <v/>
      </c>
    </row>
    <row r="247" spans="1:19" s="158" customFormat="1" ht="25.5">
      <c r="A247" s="261"/>
      <c r="B247" s="345" t="s">
        <v>578</v>
      </c>
      <c r="C247" s="265" t="str">
        <f>C235</f>
        <v>-</v>
      </c>
      <c r="D247" s="265" t="str">
        <f>D235</f>
        <v>-</v>
      </c>
      <c r="E247" s="265">
        <f>E235</f>
        <v>0.17499999999999999</v>
      </c>
      <c r="F247" s="265" t="str">
        <f>F235</f>
        <v>-</v>
      </c>
      <c r="G247" s="265">
        <f>G235</f>
        <v>3303.28</v>
      </c>
      <c r="H247" s="265">
        <f>PRODUCT(C247:G247)</f>
        <v>578.07399999999996</v>
      </c>
      <c r="I247" s="261"/>
      <c r="J247" s="261"/>
      <c r="K247" s="261"/>
      <c r="L247" s="236"/>
      <c r="M247" s="261"/>
      <c r="O247" s="318" t="str">
        <f>IFERROR(IF(L247="","",INDEX(ORÇAMENTO!C:C,MATCH(A247,ORÇAMENTO!A:A,0))),"")</f>
        <v/>
      </c>
      <c r="P247" s="93" t="str">
        <f>IFERROR(IF(L247="","",INDEX(ORÇAMENTO!D:D,MATCH(A247,ORÇAMENTO!A:A,0))),"")</f>
        <v/>
      </c>
    </row>
    <row r="248" spans="1:19" s="158" customFormat="1">
      <c r="A248" s="261"/>
      <c r="B248" s="266"/>
      <c r="C248" s="267"/>
      <c r="D248" s="267"/>
      <c r="E248" s="268"/>
      <c r="F248" s="269"/>
      <c r="G248" s="269" t="s">
        <v>47</v>
      </c>
      <c r="H248" s="270">
        <f>SUM(H247)</f>
        <v>578.07399999999996</v>
      </c>
      <c r="K248" s="268"/>
      <c r="L248" s="271"/>
      <c r="M248" s="268"/>
      <c r="O248" s="318" t="str">
        <f>IFERROR(IF(L248="","",INDEX(ORÇAMENTO!C:C,MATCH(A248,ORÇAMENTO!A:A,0))),"")</f>
        <v/>
      </c>
      <c r="P248" s="93" t="str">
        <f>IFERROR(IF(L248="","",INDEX(ORÇAMENTO!D:D,MATCH(A248,ORÇAMENTO!A:A,0))),"")</f>
        <v/>
      </c>
    </row>
    <row r="249" spans="1:19" s="158" customFormat="1" ht="30" customHeight="1">
      <c r="A249" s="233" t="s">
        <v>499</v>
      </c>
      <c r="B249" s="564" t="str">
        <f>INDEX(ORÇAMENTO!E:E,MATCH(A249,ORÇAMENTO!A:A,0))</f>
        <v>BASE ESTABILIZADA GRANULOMETRICAMENTE COM MISTURA SOLO BRITA (70% - 30%) NA PISTA COM MATERIAL DE JAZIDA E BRITA COMERCIAL</v>
      </c>
      <c r="C249" s="565"/>
      <c r="D249" s="565"/>
      <c r="E249" s="565"/>
      <c r="F249" s="565"/>
      <c r="G249" s="565"/>
      <c r="H249" s="565"/>
      <c r="I249" s="565"/>
      <c r="J249" s="565"/>
      <c r="K249" s="566"/>
      <c r="L249" s="234">
        <f>ROUND(J252,2)</f>
        <v>1032.28</v>
      </c>
      <c r="M249" s="233" t="str">
        <f>INDEX(ORÇAMENTO!F:F,MATCH(A249,ORÇAMENTO!A:A,0))</f>
        <v>m³</v>
      </c>
      <c r="O249" s="318">
        <f>IFERROR(IF(L249="","",INDEX(ORÇAMENTO!C:C,MATCH(A249,ORÇAMENTO!A:A,0))),"")</f>
        <v>4011256</v>
      </c>
      <c r="P249" s="93" t="str">
        <f>IFERROR(IF(L249="","",INDEX(ORÇAMENTO!D:D,MATCH(A249,ORÇAMENTO!A:A,0))),"")</f>
        <v>SICRO</v>
      </c>
    </row>
    <row r="250" spans="1:19" s="158" customFormat="1" ht="38.25">
      <c r="A250" s="260" t="s">
        <v>11</v>
      </c>
      <c r="B250" s="261"/>
      <c r="C250" s="262" t="s">
        <v>42</v>
      </c>
      <c r="D250" s="262" t="s">
        <v>41</v>
      </c>
      <c r="E250" s="262" t="s">
        <v>43</v>
      </c>
      <c r="F250" s="262" t="s">
        <v>44</v>
      </c>
      <c r="G250" s="262" t="s">
        <v>45</v>
      </c>
      <c r="H250" s="262" t="s">
        <v>46</v>
      </c>
      <c r="I250" s="263" t="s">
        <v>172</v>
      </c>
      <c r="J250" s="264" t="s">
        <v>269</v>
      </c>
      <c r="K250" s="261"/>
      <c r="L250" s="236"/>
      <c r="M250" s="261"/>
      <c r="O250" s="318" t="str">
        <f>IFERROR(IF(L250="","",INDEX(ORÇAMENTO!C:C,MATCH(A250,ORÇAMENTO!A:A,0))),"")</f>
        <v/>
      </c>
      <c r="P250" s="93" t="str">
        <f>IFERROR(IF(L250="","",INDEX(ORÇAMENTO!D:D,MATCH(A250,ORÇAMENTO!A:A,0))),"")</f>
        <v/>
      </c>
    </row>
    <row r="251" spans="1:19" s="158" customFormat="1" ht="30" customHeight="1">
      <c r="A251" s="261"/>
      <c r="B251" s="345" t="s">
        <v>390</v>
      </c>
      <c r="C251" s="265" t="s">
        <v>206</v>
      </c>
      <c r="D251" s="265" t="s">
        <v>206</v>
      </c>
      <c r="E251" s="265">
        <v>0.25</v>
      </c>
      <c r="F251" s="265" t="s">
        <v>206</v>
      </c>
      <c r="G251" s="265">
        <f>G247</f>
        <v>3303.28</v>
      </c>
      <c r="H251" s="265">
        <f>PRODUCT(C251:G251)</f>
        <v>825.82</v>
      </c>
      <c r="I251" s="265">
        <v>1.25</v>
      </c>
      <c r="J251" s="265">
        <f>H251*I251</f>
        <v>1032.2750000000001</v>
      </c>
      <c r="K251" s="261"/>
      <c r="L251" s="236"/>
      <c r="M251" s="261"/>
      <c r="O251" s="318" t="str">
        <f>IFERROR(IF(L251="","",INDEX(ORÇAMENTO!C:C,MATCH(A251,ORÇAMENTO!A:A,0))),"")</f>
        <v/>
      </c>
      <c r="P251" s="93" t="str">
        <f>IFERROR(IF(L251="","",INDEX(ORÇAMENTO!D:D,MATCH(A251,ORÇAMENTO!A:A,0))),"")</f>
        <v/>
      </c>
    </row>
    <row r="252" spans="1:19" s="158" customFormat="1">
      <c r="A252" s="261"/>
      <c r="B252" s="266"/>
      <c r="C252" s="267"/>
      <c r="D252" s="267"/>
      <c r="E252" s="268"/>
      <c r="F252" s="269"/>
      <c r="G252" s="269"/>
      <c r="H252" s="269"/>
      <c r="I252" s="269" t="s">
        <v>47</v>
      </c>
      <c r="J252" s="270">
        <f>SUM(J251:J251)</f>
        <v>1032.2750000000001</v>
      </c>
      <c r="K252" s="268"/>
      <c r="L252" s="271"/>
      <c r="M252" s="268"/>
      <c r="O252" s="318" t="str">
        <f>IFERROR(IF(L252="","",INDEX(ORÇAMENTO!C:C,MATCH(A252,ORÇAMENTO!A:A,0))),"")</f>
        <v/>
      </c>
      <c r="P252" s="93" t="str">
        <f>IFERROR(IF(L252="","",INDEX(ORÇAMENTO!D:D,MATCH(A252,ORÇAMENTO!A:A,0))),"")</f>
        <v/>
      </c>
    </row>
    <row r="253" spans="1:19" s="158" customFormat="1" ht="30" customHeight="1">
      <c r="A253" s="278" t="s">
        <v>432</v>
      </c>
      <c r="B253" s="576" t="str">
        <f>INDEX(ORÇAMENTO!E:E,MATCH(A253,ORÇAMENTO!A:A,0))</f>
        <v>PAVIMENTAÇÃO DA BERMA DE O&amp;M DO FOREBAY</v>
      </c>
      <c r="C253" s="577"/>
      <c r="D253" s="577"/>
      <c r="E253" s="577"/>
      <c r="F253" s="577"/>
      <c r="G253" s="577"/>
      <c r="H253" s="577"/>
      <c r="I253" s="577"/>
      <c r="J253" s="577"/>
      <c r="K253" s="577"/>
      <c r="L253" s="577"/>
      <c r="M253" s="578"/>
      <c r="O253" s="318" t="str">
        <f>IFERROR(IF(L253="","",INDEX(ORÇAMENTO!C:C,MATCH(A253,ORÇAMENTO!A:A,0))),"")</f>
        <v/>
      </c>
      <c r="P253" s="93" t="str">
        <f>IFERROR(IF(L253="","",INDEX(ORÇAMENTO!D:D,MATCH(A253,ORÇAMENTO!A:A,0))),"")</f>
        <v/>
      </c>
    </row>
    <row r="254" spans="1:19" s="158" customFormat="1" ht="30" customHeight="1">
      <c r="A254" s="233" t="s">
        <v>502</v>
      </c>
      <c r="B254" s="564" t="str">
        <f>INDEX(ORÇAMENTO!E:E,MATCH(A254,ORÇAMENTO!A:A,0))</f>
        <v>IMPRIMAÇÃO COM ASFALTO DILUÍDO</v>
      </c>
      <c r="C254" s="565"/>
      <c r="D254" s="565"/>
      <c r="E254" s="565"/>
      <c r="F254" s="565"/>
      <c r="G254" s="565"/>
      <c r="H254" s="565"/>
      <c r="I254" s="565"/>
      <c r="J254" s="565"/>
      <c r="K254" s="566"/>
      <c r="L254" s="234">
        <f>G257</f>
        <v>3303.28</v>
      </c>
      <c r="M254" s="233" t="str">
        <f>INDEX(ORÇAMENTO!F:F,MATCH(A254,ORÇAMENTO!A:A,0))</f>
        <v>m²</v>
      </c>
      <c r="O254" s="318">
        <f>IFERROR(IF(L254="","",INDEX(ORÇAMENTO!C:C,MATCH(A254,ORÇAMENTO!A:A,0))),"")</f>
        <v>4011351</v>
      </c>
      <c r="P254" s="93" t="str">
        <f>IFERROR(IF(L254="","",INDEX(ORÇAMENTO!D:D,MATCH(A254,ORÇAMENTO!A:A,0))),"")</f>
        <v>SICRO</v>
      </c>
    </row>
    <row r="255" spans="1:19" s="158" customFormat="1" ht="30" customHeight="1">
      <c r="A255" s="260" t="s">
        <v>11</v>
      </c>
      <c r="B255" s="261"/>
      <c r="C255" s="262" t="s">
        <v>42</v>
      </c>
      <c r="D255" s="262" t="s">
        <v>41</v>
      </c>
      <c r="E255" s="262" t="s">
        <v>43</v>
      </c>
      <c r="F255" s="262" t="s">
        <v>44</v>
      </c>
      <c r="G255" s="262" t="s">
        <v>45</v>
      </c>
      <c r="H255" s="262"/>
      <c r="I255" s="261"/>
      <c r="J255" s="261"/>
      <c r="K255" s="261"/>
      <c r="L255" s="236"/>
      <c r="M255" s="261"/>
      <c r="O255" s="318" t="str">
        <f>IFERROR(IF(L255="","",INDEX(ORÇAMENTO!C:C,MATCH(A255,ORÇAMENTO!A:A,0))),"")</f>
        <v/>
      </c>
      <c r="P255" s="93" t="str">
        <f>IFERROR(IF(L255="","",INDEX(ORÇAMENTO!D:D,MATCH(A255,ORÇAMENTO!A:A,0))),"")</f>
        <v/>
      </c>
      <c r="R255" s="381">
        <v>1.1999999999999999E-3</v>
      </c>
      <c r="S255" s="381"/>
    </row>
    <row r="256" spans="1:19" s="158" customFormat="1" ht="30" customHeight="1">
      <c r="A256" s="261"/>
      <c r="B256" s="346" t="s">
        <v>391</v>
      </c>
      <c r="C256" s="265" t="s">
        <v>206</v>
      </c>
      <c r="D256" s="265" t="s">
        <v>206</v>
      </c>
      <c r="E256" s="265" t="s">
        <v>206</v>
      </c>
      <c r="F256" s="265" t="s">
        <v>206</v>
      </c>
      <c r="G256" s="265">
        <f>G251</f>
        <v>3303.28</v>
      </c>
      <c r="H256" s="265"/>
      <c r="I256" s="261"/>
      <c r="J256" s="261"/>
      <c r="K256" s="261"/>
      <c r="L256" s="236"/>
      <c r="M256" s="261"/>
      <c r="O256" s="318" t="str">
        <f>IFERROR(IF(L256="","",INDEX(ORÇAMENTO!C:C,MATCH(A256,ORÇAMENTO!A:A,0))),"")</f>
        <v/>
      </c>
      <c r="P256" s="93" t="str">
        <f>IFERROR(IF(L256="","",INDEX(ORÇAMENTO!D:D,MATCH(A256,ORÇAMENTO!A:A,0))),"")</f>
        <v/>
      </c>
      <c r="R256" s="381">
        <f>L254*R255</f>
        <v>3.9639359999999999</v>
      </c>
      <c r="S256" s="381" t="s">
        <v>694</v>
      </c>
    </row>
    <row r="257" spans="1:16" s="158" customFormat="1">
      <c r="A257" s="261"/>
      <c r="B257" s="266"/>
      <c r="C257" s="267"/>
      <c r="D257" s="267"/>
      <c r="E257" s="268"/>
      <c r="F257" s="269" t="s">
        <v>47</v>
      </c>
      <c r="G257" s="270">
        <f>SUM(G256:G256)</f>
        <v>3303.28</v>
      </c>
      <c r="H257" s="270"/>
      <c r="I257" s="268"/>
      <c r="J257" s="268"/>
      <c r="K257" s="268"/>
      <c r="L257" s="271"/>
      <c r="M257" s="268"/>
      <c r="O257" s="318" t="str">
        <f>IFERROR(IF(L257="","",INDEX(ORÇAMENTO!C:C,MATCH(A257,ORÇAMENTO!A:A,0))),"")</f>
        <v/>
      </c>
      <c r="P257" s="93" t="str">
        <f>IFERROR(IF(L257="","",INDEX(ORÇAMENTO!D:D,MATCH(A257,ORÇAMENTO!A:A,0))),"")</f>
        <v/>
      </c>
    </row>
    <row r="258" spans="1:16" s="158" customFormat="1" ht="35.25" customHeight="1">
      <c r="A258" s="233" t="s">
        <v>504</v>
      </c>
      <c r="B258" s="564" t="str">
        <f>INDEX(ORÇAMENTO!E:E,MATCH(A258,ORÇAMENTO!A:A,0))</f>
        <v>CONCRETO ASFÁLTICO - FAIXA C - AREIA E BRITA COMERCIAIS</v>
      </c>
      <c r="C258" s="565"/>
      <c r="D258" s="565"/>
      <c r="E258" s="565"/>
      <c r="F258" s="565"/>
      <c r="G258" s="565"/>
      <c r="H258" s="565"/>
      <c r="I258" s="565"/>
      <c r="J258" s="565"/>
      <c r="K258" s="566"/>
      <c r="L258" s="234">
        <f>ROUND(J261,2)</f>
        <v>317.11</v>
      </c>
      <c r="M258" s="233" t="str">
        <f>INDEX(ORÇAMENTO!F:F,MATCH(A258,ORÇAMENTO!A:A,0))</f>
        <v>t</v>
      </c>
      <c r="O258" s="318">
        <f>IFERROR(IF(L258="","",INDEX(ORÇAMENTO!C:C,MATCH(A258,ORÇAMENTO!A:A,0))),"")</f>
        <v>4011463</v>
      </c>
      <c r="P258" s="93" t="str">
        <f>IFERROR(IF(L258="","",INDEX(ORÇAMENTO!D:D,MATCH(A258,ORÇAMENTO!A:A,0))),"")</f>
        <v>SICRO</v>
      </c>
    </row>
    <row r="259" spans="1:16" s="158" customFormat="1" ht="25.5">
      <c r="A259" s="260" t="s">
        <v>11</v>
      </c>
      <c r="B259" s="261"/>
      <c r="C259" s="262" t="s">
        <v>42</v>
      </c>
      <c r="D259" s="262" t="s">
        <v>41</v>
      </c>
      <c r="E259" s="262" t="s">
        <v>43</v>
      </c>
      <c r="F259" s="262" t="s">
        <v>44</v>
      </c>
      <c r="G259" s="262" t="s">
        <v>45</v>
      </c>
      <c r="H259" s="262" t="s">
        <v>46</v>
      </c>
      <c r="I259" s="264" t="s">
        <v>266</v>
      </c>
      <c r="J259" s="264" t="s">
        <v>267</v>
      </c>
      <c r="K259" s="261"/>
      <c r="L259" s="236"/>
      <c r="M259" s="261"/>
      <c r="O259" s="318" t="str">
        <f>IFERROR(IF(L259="","",INDEX(ORÇAMENTO!C:C,MATCH(A259,ORÇAMENTO!A:A,0))),"")</f>
        <v/>
      </c>
      <c r="P259" s="93" t="str">
        <f>IFERROR(IF(L259="","",INDEX(ORÇAMENTO!D:D,MATCH(A259,ORÇAMENTO!A:A,0))),"")</f>
        <v/>
      </c>
    </row>
    <row r="260" spans="1:16" s="158" customFormat="1" ht="30" customHeight="1">
      <c r="A260" s="261"/>
      <c r="B260" s="346" t="s">
        <v>392</v>
      </c>
      <c r="C260" s="265" t="str">
        <f>C256</f>
        <v>-</v>
      </c>
      <c r="D260" s="265" t="str">
        <f>D256</f>
        <v>-</v>
      </c>
      <c r="E260" s="265">
        <v>0.04</v>
      </c>
      <c r="F260" s="265" t="str">
        <f>F256</f>
        <v>-</v>
      </c>
      <c r="G260" s="265">
        <f>G256</f>
        <v>3303.28</v>
      </c>
      <c r="H260" s="265">
        <f>PRODUCT(C260:G260)</f>
        <v>132.13120000000001</v>
      </c>
      <c r="I260" s="265">
        <v>2.4</v>
      </c>
      <c r="J260" s="265">
        <f>H260*I260</f>
        <v>317.11488000000003</v>
      </c>
      <c r="K260" s="261"/>
      <c r="L260" s="236"/>
      <c r="M260" s="261"/>
      <c r="O260" s="318" t="str">
        <f>IFERROR(IF(L260="","",INDEX(ORÇAMENTO!C:C,MATCH(A260,ORÇAMENTO!A:A,0))),"")</f>
        <v/>
      </c>
      <c r="P260" s="93" t="str">
        <f>IFERROR(IF(L260="","",INDEX(ORÇAMENTO!D:D,MATCH(A260,ORÇAMENTO!A:A,0))),"")</f>
        <v/>
      </c>
    </row>
    <row r="261" spans="1:16" s="158" customFormat="1">
      <c r="A261" s="261"/>
      <c r="B261" s="266"/>
      <c r="C261" s="267"/>
      <c r="D261" s="267"/>
      <c r="E261" s="268"/>
      <c r="F261" s="269"/>
      <c r="G261" s="269"/>
      <c r="H261" s="269"/>
      <c r="I261" s="269" t="s">
        <v>47</v>
      </c>
      <c r="J261" s="270">
        <f>SUM(J260:J260)</f>
        <v>317.11488000000003</v>
      </c>
      <c r="K261" s="268"/>
      <c r="L261" s="271"/>
      <c r="M261" s="268"/>
      <c r="O261" s="318" t="str">
        <f>IFERROR(IF(L261="","",INDEX(ORÇAMENTO!C:C,MATCH(A261,ORÇAMENTO!A:A,0))),"")</f>
        <v/>
      </c>
      <c r="P261" s="93" t="str">
        <f>IFERROR(IF(L261="","",INDEX(ORÇAMENTO!D:D,MATCH(A261,ORÇAMENTO!A:A,0))),"")</f>
        <v/>
      </c>
    </row>
    <row r="262" spans="1:16" s="158" customFormat="1" ht="35.25" customHeight="1">
      <c r="A262" s="233" t="s">
        <v>505</v>
      </c>
      <c r="B262" s="564" t="str">
        <f>INDEX(ORÇAMENTO!E:E,MATCH(A262,ORÇAMENTO!A:A,0))</f>
        <v>USINAGEM DE CONCRETO ASFÁLTICO - FAIXA C - AREIA E BRITA COMERCIAIS</v>
      </c>
      <c r="C262" s="565"/>
      <c r="D262" s="565"/>
      <c r="E262" s="565"/>
      <c r="F262" s="565"/>
      <c r="G262" s="565"/>
      <c r="H262" s="565"/>
      <c r="I262" s="565"/>
      <c r="J262" s="565"/>
      <c r="K262" s="566"/>
      <c r="L262" s="234">
        <f>ROUND(I265,2)</f>
        <v>323.45999999999998</v>
      </c>
      <c r="M262" s="233" t="str">
        <f>INDEX(ORÇAMENTO!F:F,MATCH(A262,ORÇAMENTO!A:A,0))</f>
        <v>t</v>
      </c>
      <c r="O262" s="318">
        <f>IFERROR(IF(L262="","",INDEX(ORÇAMENTO!C:C,MATCH(A262,ORÇAMENTO!A:A,0))),"")</f>
        <v>6416078</v>
      </c>
      <c r="P262" s="93" t="str">
        <f>IFERROR(IF(L262="","",INDEX(ORÇAMENTO!D:D,MATCH(A262,ORÇAMENTO!A:A,0))),"")</f>
        <v>SICRO</v>
      </c>
    </row>
    <row r="263" spans="1:16" s="158" customFormat="1" ht="38.25">
      <c r="A263" s="260" t="s">
        <v>11</v>
      </c>
      <c r="B263" s="261"/>
      <c r="C263" s="262" t="s">
        <v>42</v>
      </c>
      <c r="D263" s="262" t="s">
        <v>41</v>
      </c>
      <c r="E263" s="262" t="s">
        <v>43</v>
      </c>
      <c r="F263" s="262" t="s">
        <v>44</v>
      </c>
      <c r="G263" s="262" t="s">
        <v>45</v>
      </c>
      <c r="H263" s="262" t="s">
        <v>46</v>
      </c>
      <c r="I263" s="264" t="s">
        <v>267</v>
      </c>
      <c r="J263" s="236"/>
      <c r="K263" s="236"/>
      <c r="L263" s="236"/>
      <c r="M263" s="261"/>
      <c r="O263" s="318" t="str">
        <f>IFERROR(IF(L263="","",INDEX(ORÇAMENTO!C:C,MATCH(A263,ORÇAMENTO!A:A,0))),"")</f>
        <v/>
      </c>
      <c r="P263" s="93" t="str">
        <f>IFERROR(IF(L263="","",INDEX(ORÇAMENTO!D:D,MATCH(A263,ORÇAMENTO!A:A,0))),"")</f>
        <v/>
      </c>
    </row>
    <row r="264" spans="1:16" s="158" customFormat="1" ht="30" customHeight="1">
      <c r="A264" s="261"/>
      <c r="B264" s="346" t="s">
        <v>393</v>
      </c>
      <c r="C264" s="265" t="str">
        <f>C260</f>
        <v>-</v>
      </c>
      <c r="D264" s="265" t="str">
        <f>D260</f>
        <v>-</v>
      </c>
      <c r="E264" s="265">
        <f>E260</f>
        <v>0.04</v>
      </c>
      <c r="F264" s="265" t="str">
        <f>F260</f>
        <v>-</v>
      </c>
      <c r="G264" s="265">
        <f>G260</f>
        <v>3303.28</v>
      </c>
      <c r="H264" s="265">
        <f>PRODUCT(C264:G264)</f>
        <v>132.13120000000001</v>
      </c>
      <c r="I264" s="265">
        <f>J261*1.02</f>
        <v>323.45717760000002</v>
      </c>
      <c r="J264" s="265"/>
      <c r="K264" s="265"/>
      <c r="L264" s="236"/>
      <c r="M264" s="261"/>
      <c r="O264" s="318" t="str">
        <f>IFERROR(IF(L264="","",INDEX(ORÇAMENTO!C:C,MATCH(A264,ORÇAMENTO!A:A,0))),"")</f>
        <v/>
      </c>
      <c r="P264" s="93" t="str">
        <f>IFERROR(IF(L264="","",INDEX(ORÇAMENTO!D:D,MATCH(A264,ORÇAMENTO!A:A,0))),"")</f>
        <v/>
      </c>
    </row>
    <row r="265" spans="1:16" s="158" customFormat="1">
      <c r="A265" s="261"/>
      <c r="B265" s="266"/>
      <c r="C265" s="267"/>
      <c r="D265" s="267"/>
      <c r="E265" s="268"/>
      <c r="F265" s="269"/>
      <c r="G265" s="269"/>
      <c r="H265" s="269" t="s">
        <v>47</v>
      </c>
      <c r="I265" s="270">
        <f>SUM(I264)</f>
        <v>323.45717760000002</v>
      </c>
      <c r="J265" s="271"/>
      <c r="K265" s="271"/>
      <c r="L265" s="271"/>
      <c r="M265" s="268"/>
      <c r="O265" s="318" t="str">
        <f>IFERROR(IF(L265="","",INDEX(ORÇAMENTO!C:C,MATCH(A265,ORÇAMENTO!A:A,0))),"")</f>
        <v/>
      </c>
      <c r="P265" s="93" t="str">
        <f>IFERROR(IF(L265="","",INDEX(ORÇAMENTO!D:D,MATCH(A265,ORÇAMENTO!A:A,0))),"")</f>
        <v/>
      </c>
    </row>
    <row r="266" spans="1:16" s="158" customFormat="1" ht="30" customHeight="1">
      <c r="A266" s="453" t="s">
        <v>632</v>
      </c>
      <c r="B266" s="567" t="str">
        <f>INDEX(ORÇAMENTO!E:E,MATCH(A266,ORÇAMENTO!A:A,0))</f>
        <v>DEMOLIÇÃO DE BLOCOS DE CONCRETO</v>
      </c>
      <c r="C266" s="568"/>
      <c r="D266" s="568"/>
      <c r="E266" s="568"/>
      <c r="F266" s="568"/>
      <c r="G266" s="568"/>
      <c r="H266" s="568"/>
      <c r="I266" s="568"/>
      <c r="J266" s="568"/>
      <c r="K266" s="568"/>
      <c r="L266" s="568"/>
      <c r="M266" s="569"/>
      <c r="O266" s="318" t="str">
        <f>IFERROR(IF(L266="","",INDEX(ORÇAMENTO!C:C,MATCH(A266,ORÇAMENTO!A:A,0))),"")</f>
        <v/>
      </c>
      <c r="P266" s="93" t="str">
        <f>IFERROR(IF(L266="","",INDEX(ORÇAMENTO!D:D,MATCH(A266,ORÇAMENTO!A:A,0))),"")</f>
        <v/>
      </c>
    </row>
    <row r="267" spans="1:16" s="158" customFormat="1" ht="35.25" customHeight="1">
      <c r="A267" s="63" t="s">
        <v>633</v>
      </c>
      <c r="B267" s="570" t="str">
        <f>INDEX(ORÇAMENTO!E:E,MATCH(A267,ORÇAMENTO!A:A,0))</f>
        <v>Escavação, carga e transporte de material de 1ª categoria - DMT de 1.000 a 1.200 m - caminho de serviço em leito natural - com escavadeira e caminhão basculante de 14 m³</v>
      </c>
      <c r="C267" s="571"/>
      <c r="D267" s="571"/>
      <c r="E267" s="571"/>
      <c r="F267" s="571"/>
      <c r="G267" s="571"/>
      <c r="H267" s="571"/>
      <c r="I267" s="571"/>
      <c r="J267" s="571"/>
      <c r="K267" s="572"/>
      <c r="L267" s="64">
        <f>ROUND(H269,2)</f>
        <v>228.89</v>
      </c>
      <c r="M267" s="63" t="str">
        <f>INDEX(ORÇAMENTO!F:F,MATCH(A267,ORÇAMENTO!A:A,0))</f>
        <v>m³</v>
      </c>
      <c r="O267" s="318">
        <f>IFERROR(IF(L267="","",INDEX(ORÇAMENTO!C:C,MATCH(A267,ORÇAMENTO!A:A,0))),"")</f>
        <v>5502114</v>
      </c>
      <c r="P267" s="93" t="str">
        <f>IFERROR(IF(L267="","",INDEX(ORÇAMENTO!D:D,MATCH(A267,ORÇAMENTO!A:A,0))),"")</f>
        <v>SICRO</v>
      </c>
    </row>
    <row r="268" spans="1:16" s="158" customFormat="1">
      <c r="A268" s="520" t="s">
        <v>11</v>
      </c>
      <c r="B268" s="573" t="s">
        <v>733</v>
      </c>
      <c r="C268" s="574"/>
      <c r="D268" s="574"/>
      <c r="E268" s="574"/>
      <c r="F268" s="574"/>
      <c r="G268" s="574"/>
      <c r="H268" s="575"/>
      <c r="I268" s="521"/>
      <c r="J268" s="521"/>
      <c r="K268" s="521"/>
      <c r="L268" s="522"/>
      <c r="M268" s="521"/>
      <c r="O268" s="318" t="str">
        <f>IFERROR(IF(L268="","",INDEX(ORÇAMENTO!C:C,MATCH(A268,ORÇAMENTO!A:A,0))),"")</f>
        <v/>
      </c>
      <c r="P268" s="93" t="str">
        <f>IFERROR(IF(L268="","",INDEX(ORÇAMENTO!D:D,MATCH(A268,ORÇAMENTO!A:A,0))),"")</f>
        <v/>
      </c>
    </row>
    <row r="269" spans="1:16" s="158" customFormat="1">
      <c r="A269" s="521"/>
      <c r="B269" s="523"/>
      <c r="C269" s="16"/>
      <c r="D269" s="16"/>
      <c r="E269" s="524"/>
      <c r="F269" s="21"/>
      <c r="G269" s="21" t="s">
        <v>47</v>
      </c>
      <c r="H269" s="22">
        <f>'MEMÓRIA - REMOÇÃO DE BLOCOS'!I20</f>
        <v>228.89250000000004</v>
      </c>
      <c r="I269" s="525"/>
      <c r="J269" s="525"/>
      <c r="K269" s="524"/>
      <c r="L269" s="526"/>
      <c r="M269" s="524"/>
      <c r="O269" s="318" t="str">
        <f>IFERROR(IF(L269="","",INDEX(ORÇAMENTO!C:C,MATCH(A269,ORÇAMENTO!A:A,0))),"")</f>
        <v/>
      </c>
      <c r="P269" s="93" t="str">
        <f>IFERROR(IF(L269="","",INDEX(ORÇAMENTO!D:D,MATCH(A269,ORÇAMENTO!A:A,0))),"")</f>
        <v/>
      </c>
    </row>
    <row r="270" spans="1:16" s="158" customFormat="1" ht="30" customHeight="1">
      <c r="A270" s="63" t="s">
        <v>634</v>
      </c>
      <c r="B270" s="570" t="str">
        <f>INDEX(ORÇAMENTO!E:E,MATCH(A270,ORÇAMENTO!A:A,0))</f>
        <v>Desmonte de material de 3ª categoria a frio com argamassa expansiva a céu aberto</v>
      </c>
      <c r="C270" s="571"/>
      <c r="D270" s="571"/>
      <c r="E270" s="571"/>
      <c r="F270" s="571"/>
      <c r="G270" s="571"/>
      <c r="H270" s="571"/>
      <c r="I270" s="571"/>
      <c r="J270" s="571"/>
      <c r="K270" s="572"/>
      <c r="L270" s="64">
        <f>ROUND(H273,2)</f>
        <v>423.58</v>
      </c>
      <c r="M270" s="63" t="str">
        <f>INDEX(ORÇAMENTO!F:F,MATCH(A270,ORÇAMENTO!A:A,0))</f>
        <v>m³</v>
      </c>
      <c r="O270" s="318">
        <f>IFERROR(IF(L270="","",INDEX(ORÇAMENTO!C:C,MATCH(A270,ORÇAMENTO!A:A,0))),"")</f>
        <v>5505766</v>
      </c>
      <c r="P270" s="93" t="str">
        <f>IFERROR(IF(L270="","",INDEX(ORÇAMENTO!D:D,MATCH(A270,ORÇAMENTO!A:A,0))),"")</f>
        <v>SICRO</v>
      </c>
    </row>
    <row r="271" spans="1:16" s="158" customFormat="1" ht="30" customHeight="1">
      <c r="A271" s="520" t="s">
        <v>11</v>
      </c>
      <c r="B271" s="527"/>
      <c r="C271" s="60" t="s">
        <v>42</v>
      </c>
      <c r="D271" s="60" t="s">
        <v>41</v>
      </c>
      <c r="E271" s="60" t="s">
        <v>43</v>
      </c>
      <c r="F271" s="60" t="s">
        <v>44</v>
      </c>
      <c r="G271" s="60" t="s">
        <v>45</v>
      </c>
      <c r="H271" s="60" t="s">
        <v>46</v>
      </c>
      <c r="I271" s="521"/>
      <c r="J271" s="521"/>
      <c r="K271" s="521"/>
      <c r="L271" s="522"/>
      <c r="M271" s="521"/>
      <c r="O271" s="318" t="str">
        <f>IFERROR(IF(L271="","",INDEX(ORÇAMENTO!C:C,MATCH(A271,ORÇAMENTO!A:A,0))),"")</f>
        <v/>
      </c>
      <c r="P271" s="93" t="str">
        <f>IFERROR(IF(L271="","",INDEX(ORÇAMENTO!D:D,MATCH(A271,ORÇAMENTO!A:A,0))),"")</f>
        <v/>
      </c>
    </row>
    <row r="272" spans="1:16" s="158" customFormat="1">
      <c r="A272" s="521"/>
      <c r="B272" s="582" t="s">
        <v>733</v>
      </c>
      <c r="C272" s="583"/>
      <c r="D272" s="583"/>
      <c r="E272" s="583"/>
      <c r="F272" s="583"/>
      <c r="G272" s="583"/>
      <c r="H272" s="584"/>
      <c r="I272" s="521"/>
      <c r="J272" s="521"/>
      <c r="K272" s="521"/>
      <c r="L272" s="522"/>
      <c r="M272" s="521"/>
      <c r="O272" s="318" t="str">
        <f>IFERROR(IF(L272="","",INDEX(ORÇAMENTO!C:C,MATCH(A272,ORÇAMENTO!A:A,0))),"")</f>
        <v/>
      </c>
      <c r="P272" s="93" t="str">
        <f>IFERROR(IF(L272="","",INDEX(ORÇAMENTO!D:D,MATCH(A272,ORÇAMENTO!A:A,0))),"")</f>
        <v/>
      </c>
    </row>
    <row r="273" spans="1:16" s="158" customFormat="1">
      <c r="A273" s="521"/>
      <c r="B273" s="257"/>
      <c r="C273" s="16"/>
      <c r="D273" s="16"/>
      <c r="E273" s="524"/>
      <c r="F273" s="21"/>
      <c r="G273" s="21" t="s">
        <v>47</v>
      </c>
      <c r="H273" s="22">
        <f>'MEMÓRIA - REMOÇÃO DE BLOCOS'!I36</f>
        <v>423.58050000000003</v>
      </c>
      <c r="I273" s="524"/>
      <c r="J273" s="524"/>
      <c r="K273" s="524"/>
      <c r="L273" s="526"/>
      <c r="M273" s="524"/>
      <c r="O273" s="318" t="str">
        <f>IFERROR(IF(L273="","",INDEX(ORÇAMENTO!C:C,MATCH(A273,ORÇAMENTO!A:A,0))),"")</f>
        <v/>
      </c>
      <c r="P273" s="93" t="str">
        <f>IFERROR(IF(L273="","",INDEX(ORÇAMENTO!D:D,MATCH(A273,ORÇAMENTO!A:A,0))),"")</f>
        <v/>
      </c>
    </row>
    <row r="274" spans="1:16" s="158" customFormat="1" ht="30" customHeight="1">
      <c r="A274" s="63" t="s">
        <v>637</v>
      </c>
      <c r="B274" s="570" t="str">
        <f>INDEX(ORÇAMENTO!E:E,MATCH(A274,ORÇAMENTO!A:A,0))</f>
        <v>Carga, manobra e descarga de blocos</v>
      </c>
      <c r="C274" s="571"/>
      <c r="D274" s="571"/>
      <c r="E274" s="571"/>
      <c r="F274" s="571"/>
      <c r="G274" s="571"/>
      <c r="H274" s="571"/>
      <c r="I274" s="571"/>
      <c r="J274" s="571"/>
      <c r="K274" s="572"/>
      <c r="L274" s="64">
        <f>ROUND(H277,2)</f>
        <v>1016.59</v>
      </c>
      <c r="M274" s="63" t="str">
        <f>INDEX(ORÇAMENTO!F:F,MATCH(A274,ORÇAMENTO!A:A,0))</f>
        <v>t</v>
      </c>
      <c r="O274" s="318">
        <f>IFERROR(IF(L274="","",INDEX(ORÇAMENTO!C:C,MATCH(A274,ORÇAMENTO!A:A,0))),"")</f>
        <v>5915405</v>
      </c>
      <c r="P274" s="93" t="str">
        <f>IFERROR(IF(L274="","",INDEX(ORÇAMENTO!D:D,MATCH(A274,ORÇAMENTO!A:A,0))),"")</f>
        <v>SICRO</v>
      </c>
    </row>
    <row r="275" spans="1:16" s="158" customFormat="1" ht="30" customHeight="1">
      <c r="A275" s="520" t="s">
        <v>11</v>
      </c>
      <c r="B275" s="527"/>
      <c r="C275" s="60" t="s">
        <v>42</v>
      </c>
      <c r="D275" s="60" t="s">
        <v>41</v>
      </c>
      <c r="E275" s="60" t="s">
        <v>43</v>
      </c>
      <c r="F275" s="60" t="s">
        <v>44</v>
      </c>
      <c r="G275" s="60" t="s">
        <v>45</v>
      </c>
      <c r="H275" s="60" t="s">
        <v>46</v>
      </c>
      <c r="I275" s="521"/>
      <c r="J275" s="521"/>
      <c r="K275" s="521"/>
      <c r="L275" s="522"/>
      <c r="M275" s="521"/>
      <c r="O275" s="318" t="str">
        <f>IFERROR(IF(L275="","",INDEX(ORÇAMENTO!C:C,MATCH(A275,ORÇAMENTO!A:A,0))),"")</f>
        <v/>
      </c>
      <c r="P275" s="93" t="str">
        <f>IFERROR(IF(L275="","",INDEX(ORÇAMENTO!D:D,MATCH(A275,ORÇAMENTO!A:A,0))),"")</f>
        <v/>
      </c>
    </row>
    <row r="276" spans="1:16" s="158" customFormat="1">
      <c r="A276" s="521"/>
      <c r="B276" s="573" t="s">
        <v>733</v>
      </c>
      <c r="C276" s="574"/>
      <c r="D276" s="574"/>
      <c r="E276" s="574"/>
      <c r="F276" s="574"/>
      <c r="G276" s="574"/>
      <c r="H276" s="575"/>
      <c r="I276" s="521"/>
      <c r="J276" s="521"/>
      <c r="K276" s="521"/>
      <c r="L276" s="522"/>
      <c r="M276" s="521"/>
      <c r="O276" s="318" t="str">
        <f>IFERROR(IF(L276="","",INDEX(ORÇAMENTO!C:C,MATCH(A276,ORÇAMENTO!A:A,0))),"")</f>
        <v/>
      </c>
      <c r="P276" s="93" t="str">
        <f>IFERROR(IF(L276="","",INDEX(ORÇAMENTO!D:D,MATCH(A276,ORÇAMENTO!A:A,0))),"")</f>
        <v/>
      </c>
    </row>
    <row r="277" spans="1:16" s="158" customFormat="1">
      <c r="A277" s="521"/>
      <c r="B277" s="257"/>
      <c r="C277" s="16"/>
      <c r="D277" s="16"/>
      <c r="E277" s="524"/>
      <c r="F277" s="21"/>
      <c r="G277" s="21" t="s">
        <v>47</v>
      </c>
      <c r="H277" s="22">
        <f>'MEMÓRIA - REMOÇÃO DE BLOCOS'!E46</f>
        <v>1016.5932</v>
      </c>
      <c r="I277" s="525"/>
      <c r="J277" s="525"/>
      <c r="K277" s="524"/>
      <c r="L277" s="526"/>
      <c r="M277" s="524"/>
      <c r="O277" s="318" t="str">
        <f>IFERROR(IF(L277="","",INDEX(ORÇAMENTO!C:C,MATCH(A277,ORÇAMENTO!A:A,0))),"")</f>
        <v/>
      </c>
      <c r="P277" s="93" t="str">
        <f>IFERROR(IF(L277="","",INDEX(ORÇAMENTO!D:D,MATCH(A277,ORÇAMENTO!A:A,0))),"")</f>
        <v/>
      </c>
    </row>
    <row r="278" spans="1:16" s="450" customFormat="1" ht="41.25" customHeight="1">
      <c r="A278" s="63" t="s">
        <v>639</v>
      </c>
      <c r="B278" s="570" t="str">
        <f>INDEX(ORÇAMENTO!E:E,MATCH(A278,ORÇAMENTO!A:A,0))</f>
        <v xml:space="preserve">Transporte com caminhão basculante de 14 m³ - rodovia em leito natural (Blocos de concreto) </v>
      </c>
      <c r="C278" s="571"/>
      <c r="D278" s="571"/>
      <c r="E278" s="571"/>
      <c r="F278" s="571"/>
      <c r="G278" s="571"/>
      <c r="H278" s="571"/>
      <c r="I278" s="571"/>
      <c r="J278" s="571"/>
      <c r="K278" s="572"/>
      <c r="L278" s="64">
        <f>ROUND(H281,2)</f>
        <v>40663.730000000003</v>
      </c>
      <c r="M278" s="63" t="str">
        <f>INDEX(ORÇAMENTO!F:F,MATCH(A278,ORÇAMENTO!A:A,0))</f>
        <v>t.km</v>
      </c>
      <c r="O278" s="318"/>
      <c r="P278" s="93"/>
    </row>
    <row r="279" spans="1:16" s="450" customFormat="1">
      <c r="A279" s="520" t="s">
        <v>11</v>
      </c>
      <c r="B279" s="527"/>
      <c r="C279" s="60" t="s">
        <v>42</v>
      </c>
      <c r="D279" s="60" t="s">
        <v>41</v>
      </c>
      <c r="E279" s="60" t="s">
        <v>43</v>
      </c>
      <c r="F279" s="60" t="s">
        <v>44</v>
      </c>
      <c r="G279" s="60" t="s">
        <v>45</v>
      </c>
      <c r="H279" s="60" t="s">
        <v>46</v>
      </c>
      <c r="I279" s="521"/>
      <c r="J279" s="521"/>
      <c r="K279" s="521"/>
      <c r="L279" s="522"/>
      <c r="M279" s="521"/>
      <c r="O279" s="318"/>
      <c r="P279" s="93"/>
    </row>
    <row r="280" spans="1:16" s="450" customFormat="1">
      <c r="A280" s="521"/>
      <c r="B280" s="573" t="s">
        <v>733</v>
      </c>
      <c r="C280" s="574"/>
      <c r="D280" s="574"/>
      <c r="E280" s="574"/>
      <c r="F280" s="574"/>
      <c r="G280" s="574"/>
      <c r="H280" s="575"/>
      <c r="I280" s="521"/>
      <c r="J280" s="521"/>
      <c r="K280" s="521"/>
      <c r="L280" s="522"/>
      <c r="M280" s="521"/>
      <c r="O280" s="318"/>
      <c r="P280" s="93"/>
    </row>
    <row r="281" spans="1:16" s="450" customFormat="1">
      <c r="A281" s="521"/>
      <c r="B281" s="257"/>
      <c r="C281" s="16"/>
      <c r="D281" s="16"/>
      <c r="E281" s="524"/>
      <c r="F281" s="21"/>
      <c r="G281" s="21" t="s">
        <v>47</v>
      </c>
      <c r="H281" s="22">
        <f>'MEMÓRIA - REMOÇÃO DE BLOCOS'!E50</f>
        <v>40663.728000000003</v>
      </c>
      <c r="I281" s="525"/>
      <c r="J281" s="525"/>
      <c r="K281" s="524"/>
      <c r="L281" s="526"/>
      <c r="M281" s="524"/>
      <c r="O281" s="318"/>
      <c r="P281" s="93"/>
    </row>
    <row r="282" spans="1:16" s="450" customFormat="1">
      <c r="A282" s="63" t="s">
        <v>739</v>
      </c>
      <c r="B282" s="570" t="str">
        <f>INDEX(ORÇAMENTO!E:E,MATCH(A282,ORÇAMENTO!A:A,0))</f>
        <v xml:space="preserve">Transporte com caminhão basculante de 14 m³ - rodovia em leito natural (material de bota espera para reaproveitamento) </v>
      </c>
      <c r="C282" s="571"/>
      <c r="D282" s="571"/>
      <c r="E282" s="571"/>
      <c r="F282" s="571"/>
      <c r="G282" s="571"/>
      <c r="H282" s="571"/>
      <c r="I282" s="571"/>
      <c r="J282" s="571"/>
      <c r="K282" s="572"/>
      <c r="L282" s="64">
        <f>ROUND(H285,2)</f>
        <v>343.34</v>
      </c>
      <c r="M282" s="63" t="str">
        <f>INDEX(ORÇAMENTO!F:F,MATCH(A282,ORÇAMENTO!A:A,0))</f>
        <v>t.km</v>
      </c>
      <c r="O282" s="318"/>
      <c r="P282" s="93"/>
    </row>
    <row r="283" spans="1:16" s="450" customFormat="1">
      <c r="A283" s="520" t="s">
        <v>11</v>
      </c>
      <c r="B283" s="527"/>
      <c r="C283" s="60" t="s">
        <v>42</v>
      </c>
      <c r="D283" s="60" t="s">
        <v>41</v>
      </c>
      <c r="E283" s="60" t="s">
        <v>43</v>
      </c>
      <c r="F283" s="60" t="s">
        <v>44</v>
      </c>
      <c r="G283" s="60" t="s">
        <v>45</v>
      </c>
      <c r="H283" s="60" t="s">
        <v>46</v>
      </c>
      <c r="I283" s="521"/>
      <c r="J283" s="521"/>
      <c r="K283" s="521"/>
      <c r="L283" s="522"/>
      <c r="M283" s="521"/>
      <c r="O283" s="318"/>
      <c r="P283" s="93"/>
    </row>
    <row r="284" spans="1:16" s="450" customFormat="1">
      <c r="A284" s="521"/>
      <c r="B284" s="573" t="s">
        <v>733</v>
      </c>
      <c r="C284" s="574"/>
      <c r="D284" s="574"/>
      <c r="E284" s="574"/>
      <c r="F284" s="574"/>
      <c r="G284" s="574"/>
      <c r="H284" s="575"/>
      <c r="I284" s="521"/>
      <c r="J284" s="521"/>
      <c r="K284" s="521"/>
      <c r="L284" s="522"/>
      <c r="M284" s="521"/>
      <c r="O284" s="318"/>
      <c r="P284" s="93"/>
    </row>
    <row r="285" spans="1:16" s="450" customFormat="1">
      <c r="A285" s="521"/>
      <c r="B285" s="257"/>
      <c r="C285" s="16"/>
      <c r="D285" s="16"/>
      <c r="E285" s="524"/>
      <c r="F285" s="21"/>
      <c r="G285" s="21" t="s">
        <v>47</v>
      </c>
      <c r="H285" s="22">
        <f>'MEMÓRIA - REMOÇÃO DE BLOCOS'!E60</f>
        <v>343.33875000000006</v>
      </c>
      <c r="I285" s="525"/>
      <c r="J285" s="525"/>
      <c r="K285" s="524"/>
      <c r="L285" s="526"/>
      <c r="M285" s="524"/>
      <c r="O285" s="318"/>
      <c r="P285" s="93"/>
    </row>
    <row r="286" spans="1:16" s="450" customFormat="1">
      <c r="A286" s="63" t="s">
        <v>740</v>
      </c>
      <c r="B286" s="570" t="str">
        <f>INDEX(ORÇAMENTO!E:E,MATCH(A286,ORÇAMENTO!A:A,0))</f>
        <v xml:space="preserve">Transporte com caminhão basculante de 10 m³ - rodovia em leito natural (brita 1 para execução no reaterro) </v>
      </c>
      <c r="C286" s="571"/>
      <c r="D286" s="571"/>
      <c r="E286" s="571"/>
      <c r="F286" s="571"/>
      <c r="G286" s="571"/>
      <c r="H286" s="571"/>
      <c r="I286" s="571"/>
      <c r="J286" s="571"/>
      <c r="K286" s="572"/>
      <c r="L286" s="64">
        <f>ROUND(H289,2)</f>
        <v>819.04</v>
      </c>
      <c r="M286" s="63" t="str">
        <f>INDEX(ORÇAMENTO!F:F,MATCH(A286,ORÇAMENTO!A:A,0))</f>
        <v>t.km</v>
      </c>
      <c r="O286" s="318"/>
      <c r="P286" s="93"/>
    </row>
    <row r="287" spans="1:16" s="450" customFormat="1">
      <c r="A287" s="520" t="s">
        <v>11</v>
      </c>
      <c r="B287" s="527"/>
      <c r="C287" s="60" t="s">
        <v>42</v>
      </c>
      <c r="D287" s="60" t="s">
        <v>41</v>
      </c>
      <c r="E287" s="60" t="s">
        <v>43</v>
      </c>
      <c r="F287" s="60" t="s">
        <v>44</v>
      </c>
      <c r="G287" s="60" t="s">
        <v>45</v>
      </c>
      <c r="H287" s="60" t="s">
        <v>46</v>
      </c>
      <c r="I287" s="521"/>
      <c r="J287" s="521"/>
      <c r="K287" s="521"/>
      <c r="L287" s="522"/>
      <c r="M287" s="521"/>
      <c r="O287" s="318"/>
      <c r="P287" s="93"/>
    </row>
    <row r="288" spans="1:16" s="450" customFormat="1">
      <c r="A288" s="521"/>
      <c r="B288" s="573" t="s">
        <v>733</v>
      </c>
      <c r="C288" s="574"/>
      <c r="D288" s="574"/>
      <c r="E288" s="574"/>
      <c r="F288" s="574"/>
      <c r="G288" s="574"/>
      <c r="H288" s="575"/>
      <c r="I288" s="521"/>
      <c r="J288" s="521"/>
      <c r="K288" s="521"/>
      <c r="L288" s="522"/>
      <c r="M288" s="521"/>
      <c r="O288" s="318"/>
      <c r="P288" s="93"/>
    </row>
    <row r="289" spans="1:16" s="450" customFormat="1">
      <c r="A289" s="521"/>
      <c r="B289" s="257"/>
      <c r="C289" s="16"/>
      <c r="D289" s="16"/>
      <c r="E289" s="524"/>
      <c r="F289" s="21"/>
      <c r="G289" s="21" t="s">
        <v>47</v>
      </c>
      <c r="H289" s="22">
        <f>'MEMÓRIA - REMOÇÃO DE BLOCOS'!E76</f>
        <v>819.03757499999995</v>
      </c>
      <c r="I289" s="525"/>
      <c r="J289" s="525"/>
      <c r="K289" s="524"/>
      <c r="L289" s="526"/>
      <c r="M289" s="524"/>
      <c r="O289" s="318"/>
      <c r="P289" s="93"/>
    </row>
    <row r="290" spans="1:16" s="450" customFormat="1">
      <c r="A290" s="63" t="s">
        <v>741</v>
      </c>
      <c r="B290" s="570" t="str">
        <f>INDEX(ORÇAMENTO!E:E,MATCH(A290,ORÇAMENTO!A:A,0))</f>
        <v xml:space="preserve">Transporte com caminhão basculante de 10 m³ - rodovia pavimentada (brita 1 para execução no reaterro) </v>
      </c>
      <c r="C290" s="571"/>
      <c r="D290" s="571"/>
      <c r="E290" s="571"/>
      <c r="F290" s="571"/>
      <c r="G290" s="571"/>
      <c r="H290" s="571"/>
      <c r="I290" s="571"/>
      <c r="J290" s="571"/>
      <c r="K290" s="572"/>
      <c r="L290" s="64">
        <f>ROUND(H293,2)</f>
        <v>37238.910000000003</v>
      </c>
      <c r="M290" s="63" t="str">
        <f>INDEX(ORÇAMENTO!F:F,MATCH(A290,ORÇAMENTO!A:A,0))</f>
        <v>t.km</v>
      </c>
      <c r="O290" s="318"/>
      <c r="P290" s="93"/>
    </row>
    <row r="291" spans="1:16" s="450" customFormat="1">
      <c r="A291" s="520" t="s">
        <v>11</v>
      </c>
      <c r="B291" s="527"/>
      <c r="C291" s="60" t="s">
        <v>42</v>
      </c>
      <c r="D291" s="60" t="s">
        <v>41</v>
      </c>
      <c r="E291" s="60" t="s">
        <v>43</v>
      </c>
      <c r="F291" s="60" t="s">
        <v>44</v>
      </c>
      <c r="G291" s="60" t="s">
        <v>45</v>
      </c>
      <c r="H291" s="60" t="s">
        <v>46</v>
      </c>
      <c r="I291" s="521"/>
      <c r="J291" s="521"/>
      <c r="K291" s="521"/>
      <c r="L291" s="522"/>
      <c r="M291" s="521"/>
      <c r="O291" s="318"/>
      <c r="P291" s="93"/>
    </row>
    <row r="292" spans="1:16" s="450" customFormat="1">
      <c r="A292" s="521"/>
      <c r="B292" s="573" t="s">
        <v>733</v>
      </c>
      <c r="C292" s="574"/>
      <c r="D292" s="574"/>
      <c r="E292" s="574"/>
      <c r="F292" s="574"/>
      <c r="G292" s="574"/>
      <c r="H292" s="575"/>
      <c r="I292" s="521"/>
      <c r="J292" s="521"/>
      <c r="K292" s="521"/>
      <c r="L292" s="522"/>
      <c r="M292" s="521"/>
      <c r="O292" s="318"/>
      <c r="P292" s="93"/>
    </row>
    <row r="293" spans="1:16" s="450" customFormat="1">
      <c r="A293" s="521"/>
      <c r="B293" s="257"/>
      <c r="C293" s="16"/>
      <c r="D293" s="16"/>
      <c r="E293" s="524"/>
      <c r="F293" s="21"/>
      <c r="G293" s="21" t="s">
        <v>47</v>
      </c>
      <c r="H293" s="22">
        <f>'MEMÓRIA - REMOÇÃO DE BLOCOS'!E75</f>
        <v>37238.908409999996</v>
      </c>
      <c r="I293" s="525"/>
      <c r="J293" s="525"/>
      <c r="K293" s="524"/>
      <c r="L293" s="526"/>
      <c r="M293" s="524"/>
      <c r="O293" s="318"/>
      <c r="P293" s="93"/>
    </row>
    <row r="294" spans="1:16" s="450" customFormat="1">
      <c r="A294" s="63" t="s">
        <v>742</v>
      </c>
      <c r="B294" s="570" t="str">
        <f>INDEX(ORÇAMENTO!E:E,MATCH(A294,ORÇAMENTO!A:A,0))</f>
        <v xml:space="preserve">Transporte com caminhão basculante de 10 m³ - rodovia em leito natural  (solo para execução no reaterro) </v>
      </c>
      <c r="C294" s="571"/>
      <c r="D294" s="571"/>
      <c r="E294" s="571"/>
      <c r="F294" s="571"/>
      <c r="G294" s="571"/>
      <c r="H294" s="571"/>
      <c r="I294" s="571"/>
      <c r="J294" s="571"/>
      <c r="K294" s="572"/>
      <c r="L294" s="64">
        <f>ROUND(H297,2)</f>
        <v>2264.7399999999998</v>
      </c>
      <c r="M294" s="63" t="str">
        <f>INDEX(ORÇAMENTO!F:F,MATCH(A294,ORÇAMENTO!A:A,0))</f>
        <v>t.km</v>
      </c>
      <c r="O294" s="318"/>
      <c r="P294" s="93"/>
    </row>
    <row r="295" spans="1:16" s="450" customFormat="1">
      <c r="A295" s="520" t="s">
        <v>11</v>
      </c>
      <c r="B295" s="527"/>
      <c r="C295" s="60" t="s">
        <v>42</v>
      </c>
      <c r="D295" s="60" t="s">
        <v>41</v>
      </c>
      <c r="E295" s="60" t="s">
        <v>43</v>
      </c>
      <c r="F295" s="60" t="s">
        <v>44</v>
      </c>
      <c r="G295" s="60" t="s">
        <v>45</v>
      </c>
      <c r="H295" s="60" t="s">
        <v>46</v>
      </c>
      <c r="I295" s="521"/>
      <c r="J295" s="521"/>
      <c r="K295" s="521"/>
      <c r="L295" s="522"/>
      <c r="M295" s="521"/>
      <c r="O295" s="318"/>
      <c r="P295" s="93"/>
    </row>
    <row r="296" spans="1:16" s="450" customFormat="1">
      <c r="A296" s="521"/>
      <c r="B296" s="573" t="s">
        <v>733</v>
      </c>
      <c r="C296" s="574"/>
      <c r="D296" s="574"/>
      <c r="E296" s="574"/>
      <c r="F296" s="574"/>
      <c r="G296" s="574"/>
      <c r="H296" s="575"/>
      <c r="I296" s="521"/>
      <c r="J296" s="521"/>
      <c r="K296" s="521"/>
      <c r="L296" s="522"/>
      <c r="M296" s="521"/>
      <c r="O296" s="318"/>
      <c r="P296" s="93"/>
    </row>
    <row r="297" spans="1:16" s="450" customFormat="1">
      <c r="A297" s="521"/>
      <c r="B297" s="257"/>
      <c r="C297" s="16"/>
      <c r="D297" s="16"/>
      <c r="E297" s="524"/>
      <c r="F297" s="21"/>
      <c r="G297" s="21" t="s">
        <v>47</v>
      </c>
      <c r="H297" s="22">
        <f>'MEMÓRIA - REMOÇÃO DE BLOCOS'!E97</f>
        <v>2264.7389062499997</v>
      </c>
      <c r="I297" s="525"/>
      <c r="J297" s="525"/>
      <c r="K297" s="524"/>
      <c r="L297" s="526"/>
      <c r="M297" s="524"/>
      <c r="O297" s="318"/>
      <c r="P297" s="93"/>
    </row>
    <row r="298" spans="1:16" s="450" customFormat="1">
      <c r="A298" s="63" t="s">
        <v>743</v>
      </c>
      <c r="B298" s="570" t="str">
        <f>INDEX(ORÇAMENTO!E:E,MATCH(A298,ORÇAMENTO!A:A,0))</f>
        <v>Execução de aterro com mistura solo brita (70% - 30%) com material de jazida e brita comercial</v>
      </c>
      <c r="C298" s="571"/>
      <c r="D298" s="571"/>
      <c r="E298" s="571"/>
      <c r="F298" s="571"/>
      <c r="G298" s="571"/>
      <c r="H298" s="571"/>
      <c r="I298" s="571"/>
      <c r="J298" s="571"/>
      <c r="K298" s="572"/>
      <c r="L298" s="64">
        <f>ROUND(H301,2)</f>
        <v>606.69000000000005</v>
      </c>
      <c r="M298" s="63" t="str">
        <f>INDEX(ORÇAMENTO!F:F,MATCH(A298,ORÇAMENTO!A:A,0))</f>
        <v>m³</v>
      </c>
      <c r="O298" s="318"/>
      <c r="P298" s="93"/>
    </row>
    <row r="299" spans="1:16" s="450" customFormat="1">
      <c r="A299" s="520" t="s">
        <v>11</v>
      </c>
      <c r="B299" s="527"/>
      <c r="C299" s="60" t="s">
        <v>42</v>
      </c>
      <c r="D299" s="60" t="s">
        <v>41</v>
      </c>
      <c r="E299" s="60" t="s">
        <v>43</v>
      </c>
      <c r="F299" s="60" t="s">
        <v>44</v>
      </c>
      <c r="G299" s="60" t="s">
        <v>45</v>
      </c>
      <c r="H299" s="60" t="s">
        <v>46</v>
      </c>
      <c r="I299" s="521"/>
      <c r="J299" s="521"/>
      <c r="K299" s="521"/>
      <c r="L299" s="522"/>
      <c r="M299" s="521"/>
      <c r="O299" s="318"/>
      <c r="P299" s="93"/>
    </row>
    <row r="300" spans="1:16" s="450" customFormat="1">
      <c r="A300" s="521"/>
      <c r="B300" s="573" t="s">
        <v>733</v>
      </c>
      <c r="C300" s="574"/>
      <c r="D300" s="574"/>
      <c r="E300" s="574"/>
      <c r="F300" s="574"/>
      <c r="G300" s="574"/>
      <c r="H300" s="575"/>
      <c r="I300" s="521"/>
      <c r="J300" s="521"/>
      <c r="K300" s="521"/>
      <c r="L300" s="522"/>
      <c r="M300" s="521"/>
      <c r="O300" s="318"/>
      <c r="P300" s="93"/>
    </row>
    <row r="301" spans="1:16" s="450" customFormat="1">
      <c r="A301" s="521"/>
      <c r="B301" s="257"/>
      <c r="C301" s="16"/>
      <c r="D301" s="16"/>
      <c r="E301" s="524"/>
      <c r="F301" s="21"/>
      <c r="G301" s="21" t="s">
        <v>47</v>
      </c>
      <c r="H301" s="22">
        <f>'MEMÓRIA - REMOÇÃO DE BLOCOS'!I102</f>
        <v>606.69450000000006</v>
      </c>
      <c r="I301" s="525"/>
      <c r="J301" s="525"/>
      <c r="K301" s="524"/>
      <c r="L301" s="526"/>
      <c r="M301" s="524"/>
      <c r="O301" s="318"/>
      <c r="P301" s="93"/>
    </row>
    <row r="302" spans="1:16" s="158" customFormat="1" ht="30" customHeight="1">
      <c r="A302" s="63" t="s">
        <v>752</v>
      </c>
      <c r="B302" s="570" t="str">
        <f>INDEX(ORÇAMENTO!E:E,MATCH(A302,ORÇAMENTO!A:A,0))</f>
        <v>Compactação manual com soquete vibratório</v>
      </c>
      <c r="C302" s="571"/>
      <c r="D302" s="571"/>
      <c r="E302" s="571"/>
      <c r="F302" s="571"/>
      <c r="G302" s="571"/>
      <c r="H302" s="571"/>
      <c r="I302" s="571"/>
      <c r="J302" s="571"/>
      <c r="K302" s="572"/>
      <c r="L302" s="64">
        <f>ROUND(J305,2)</f>
        <v>606.69000000000005</v>
      </c>
      <c r="M302" s="63" t="str">
        <f>INDEX(ORÇAMENTO!F:F,MATCH(A302,ORÇAMENTO!A:A,0))</f>
        <v>m³</v>
      </c>
      <c r="O302" s="318">
        <f>IFERROR(IF(L302="","",INDEX(ORÇAMENTO!C:C,MATCH(A302,ORÇAMENTO!A:A,0))),"")</f>
        <v>4805754</v>
      </c>
      <c r="P302" s="93" t="str">
        <f>IFERROR(IF(L302="","",INDEX(ORÇAMENTO!D:D,MATCH(A302,ORÇAMENTO!A:A,0))),"")</f>
        <v>SICRO</v>
      </c>
    </row>
    <row r="303" spans="1:16" s="158" customFormat="1" ht="30" customHeight="1">
      <c r="A303" s="520" t="s">
        <v>11</v>
      </c>
      <c r="B303" s="527"/>
      <c r="C303" s="60" t="s">
        <v>42</v>
      </c>
      <c r="D303" s="60" t="s">
        <v>41</v>
      </c>
      <c r="E303" s="60" t="s">
        <v>43</v>
      </c>
      <c r="F303" s="60" t="s">
        <v>44</v>
      </c>
      <c r="G303" s="60" t="s">
        <v>45</v>
      </c>
      <c r="H303" s="60" t="s">
        <v>46</v>
      </c>
      <c r="I303" s="189" t="s">
        <v>172</v>
      </c>
      <c r="J303" s="188" t="s">
        <v>387</v>
      </c>
      <c r="K303" s="521"/>
      <c r="L303" s="522"/>
      <c r="M303" s="521"/>
      <c r="O303" s="318" t="str">
        <f>IFERROR(IF(L303="","",INDEX(ORÇAMENTO!C:C,MATCH(A303,ORÇAMENTO!A:A,0))),"")</f>
        <v/>
      </c>
      <c r="P303" s="93" t="str">
        <f>IFERROR(IF(L303="","",INDEX(ORÇAMENTO!D:D,MATCH(A303,ORÇAMENTO!A:A,0))),"")</f>
        <v/>
      </c>
    </row>
    <row r="304" spans="1:16" s="158" customFormat="1" ht="30" customHeight="1">
      <c r="A304" s="521"/>
      <c r="B304" s="259" t="s">
        <v>638</v>
      </c>
      <c r="C304" s="579" t="s">
        <v>733</v>
      </c>
      <c r="D304" s="580"/>
      <c r="E304" s="580"/>
      <c r="F304" s="580"/>
      <c r="G304" s="580"/>
      <c r="H304" s="580"/>
      <c r="I304" s="581"/>
      <c r="J304" s="20">
        <f>'MEMÓRIA - REMOÇÃO DE BLOCOS'!I102</f>
        <v>606.69450000000006</v>
      </c>
      <c r="K304" s="521"/>
      <c r="L304" s="522"/>
      <c r="M304" s="521"/>
      <c r="O304" s="318" t="str">
        <f>IFERROR(IF(L304="","",INDEX(ORÇAMENTO!C:C,MATCH(A304,ORÇAMENTO!A:A,0))),"")</f>
        <v/>
      </c>
      <c r="P304" s="93" t="str">
        <f>IFERROR(IF(L304="","",INDEX(ORÇAMENTO!D:D,MATCH(A304,ORÇAMENTO!A:A,0))),"")</f>
        <v/>
      </c>
    </row>
    <row r="305" spans="1:16" s="158" customFormat="1">
      <c r="A305" s="521"/>
      <c r="B305" s="257"/>
      <c r="C305" s="16"/>
      <c r="D305" s="16"/>
      <c r="E305" s="524"/>
      <c r="F305" s="21"/>
      <c r="G305" s="21"/>
      <c r="H305" s="21"/>
      <c r="I305" s="21" t="s">
        <v>47</v>
      </c>
      <c r="J305" s="22">
        <f>SUM(J304)</f>
        <v>606.69450000000006</v>
      </c>
      <c r="K305" s="524"/>
      <c r="L305" s="526"/>
      <c r="M305" s="524"/>
      <c r="O305" s="318" t="str">
        <f>IFERROR(IF(L305="","",INDEX(ORÇAMENTO!C:C,MATCH(A305,ORÇAMENTO!A:A,0))),"")</f>
        <v/>
      </c>
      <c r="P305" s="93" t="str">
        <f>IFERROR(IF(L305="","",INDEX(ORÇAMENTO!D:D,MATCH(A305,ORÇAMENTO!A:A,0))),"")</f>
        <v/>
      </c>
    </row>
    <row r="306" spans="1:16" s="158" customFormat="1" ht="30" customHeight="1">
      <c r="A306" s="272">
        <v>7</v>
      </c>
      <c r="B306" s="276" t="str">
        <f>INDEX(ORÇAMENTO!E:E,MATCH(A306,ORÇAMENTO!A:A,0))</f>
        <v>DRENAGEM DE BERMA DE O&amp;M E DRENAGEM EXTERNA</v>
      </c>
      <c r="C306" s="274"/>
      <c r="D306" s="274"/>
      <c r="E306" s="274"/>
      <c r="F306" s="274"/>
      <c r="G306" s="274"/>
      <c r="H306" s="274"/>
      <c r="I306" s="274"/>
      <c r="J306" s="274"/>
      <c r="K306" s="274"/>
      <c r="L306" s="274"/>
      <c r="M306" s="277"/>
      <c r="O306" s="318" t="str">
        <f>IFERROR(IF(L306="","",INDEX(ORÇAMENTO!C:C,MATCH(A306,ORÇAMENTO!A:A,0))),"")</f>
        <v/>
      </c>
      <c r="P306" s="93" t="str">
        <f>IFERROR(IF(L306="","",INDEX(ORÇAMENTO!D:D,MATCH(A306,ORÇAMENTO!A:A,0))),"")</f>
        <v/>
      </c>
    </row>
    <row r="307" spans="1:16" s="158" customFormat="1" ht="30" customHeight="1">
      <c r="A307" s="233" t="s">
        <v>433</v>
      </c>
      <c r="B307" s="564" t="str">
        <f>INDEX(ORÇAMENTO!E:E,MATCH(A307,ORÇAMENTO!A:A,0))</f>
        <v>MEIO-FIO DE CONCRETO - MFC 03 
- AREIA E BRITA  COMERCIAL</v>
      </c>
      <c r="C307" s="565"/>
      <c r="D307" s="565"/>
      <c r="E307" s="565"/>
      <c r="F307" s="565"/>
      <c r="G307" s="565"/>
      <c r="H307" s="565"/>
      <c r="I307" s="565"/>
      <c r="J307" s="565"/>
      <c r="K307" s="566"/>
      <c r="L307" s="234">
        <f>ROUND(I310,2)</f>
        <v>506.98</v>
      </c>
      <c r="M307" s="233" t="str">
        <f>INDEX(ORÇAMENTO!F:F,MATCH(A307,ORÇAMENTO!A:A,0))</f>
        <v>m</v>
      </c>
      <c r="O307" s="318">
        <f>IFERROR(IF(L307="","",INDEX(ORÇAMENTO!C:C,MATCH(A307,ORÇAMENTO!A:A,0))),"")</f>
        <v>2003373</v>
      </c>
      <c r="P307" s="93" t="str">
        <f>IFERROR(IF(L307="","",INDEX(ORÇAMENTO!D:D,MATCH(A307,ORÇAMENTO!A:A,0))),"")</f>
        <v>SICRO</v>
      </c>
    </row>
    <row r="308" spans="1:16" s="158" customFormat="1" ht="30" customHeight="1">
      <c r="A308" s="260" t="s">
        <v>11</v>
      </c>
      <c r="B308" s="261"/>
      <c r="C308" s="262" t="s">
        <v>42</v>
      </c>
      <c r="D308" s="262" t="s">
        <v>41</v>
      </c>
      <c r="E308" s="262" t="s">
        <v>43</v>
      </c>
      <c r="F308" s="262" t="s">
        <v>44</v>
      </c>
      <c r="G308" s="262" t="s">
        <v>45</v>
      </c>
      <c r="H308" s="262" t="s">
        <v>46</v>
      </c>
      <c r="I308" s="264" t="s">
        <v>583</v>
      </c>
      <c r="J308" s="261"/>
      <c r="K308" s="261" t="s">
        <v>582</v>
      </c>
      <c r="L308" s="236"/>
      <c r="M308" s="261"/>
      <c r="O308" s="318" t="str">
        <f>IFERROR(IF(L308="","",INDEX(ORÇAMENTO!C:C,MATCH(A308,ORÇAMENTO!A:A,0))),"")</f>
        <v/>
      </c>
      <c r="P308" s="93" t="str">
        <f>IFERROR(IF(L308="","",INDEX(ORÇAMENTO!D:D,MATCH(A308,ORÇAMENTO!A:A,0))),"")</f>
        <v/>
      </c>
    </row>
    <row r="309" spans="1:16" s="158" customFormat="1" ht="30" customHeight="1">
      <c r="A309" s="239"/>
      <c r="B309" s="346" t="s">
        <v>394</v>
      </c>
      <c r="C309" s="265">
        <v>506.98</v>
      </c>
      <c r="D309" s="265" t="s">
        <v>206</v>
      </c>
      <c r="E309" s="265" t="s">
        <v>206</v>
      </c>
      <c r="F309" s="265" t="s">
        <v>206</v>
      </c>
      <c r="G309" s="265" t="s">
        <v>206</v>
      </c>
      <c r="H309" s="265" t="s">
        <v>206</v>
      </c>
      <c r="I309" s="265">
        <f>PRODUCT(C309:H309)</f>
        <v>506.98</v>
      </c>
      <c r="J309" s="261"/>
      <c r="K309" s="261"/>
      <c r="L309" s="236"/>
      <c r="M309" s="261"/>
      <c r="O309" s="318" t="str">
        <f>IFERROR(IF(L309="","",INDEX(ORÇAMENTO!C:C,MATCH(A309,ORÇAMENTO!A:A,0))),"")</f>
        <v/>
      </c>
      <c r="P309" s="93" t="str">
        <f>IFERROR(IF(L309="","",INDEX(ORÇAMENTO!D:D,MATCH(A309,ORÇAMENTO!A:A,0))),"")</f>
        <v/>
      </c>
    </row>
    <row r="310" spans="1:16" s="158" customFormat="1">
      <c r="A310" s="261"/>
      <c r="B310" s="266"/>
      <c r="C310" s="267"/>
      <c r="D310" s="267"/>
      <c r="E310" s="268"/>
      <c r="F310" s="269"/>
      <c r="G310" s="269"/>
      <c r="H310" s="269" t="s">
        <v>47</v>
      </c>
      <c r="I310" s="270">
        <f>SUM(I309:I309)</f>
        <v>506.98</v>
      </c>
      <c r="J310" s="268"/>
      <c r="K310" s="268"/>
      <c r="L310" s="271"/>
      <c r="M310" s="268"/>
      <c r="O310" s="318" t="str">
        <f>IFERROR(IF(L310="","",INDEX(ORÇAMENTO!C:C,MATCH(A310,ORÇAMENTO!A:A,0))),"")</f>
        <v/>
      </c>
      <c r="P310" s="93" t="str">
        <f>IFERROR(IF(L310="","",INDEX(ORÇAMENTO!D:D,MATCH(A310,ORÇAMENTO!A:A,0))),"")</f>
        <v/>
      </c>
    </row>
    <row r="311" spans="1:16" s="158" customFormat="1" ht="30" customHeight="1">
      <c r="A311" s="233" t="s">
        <v>434</v>
      </c>
      <c r="B311" s="564" t="str">
        <f>INDEX(ORÇAMENTO!E:E,MATCH(A311,ORÇAMENTO!A:A,0))</f>
        <v>DESCIDA DÁGUA DE ATERRO EM DEGRAUS - DAD 02 
- AREIA E BRITA  COMERCIAL</v>
      </c>
      <c r="C311" s="565"/>
      <c r="D311" s="565"/>
      <c r="E311" s="565"/>
      <c r="F311" s="565"/>
      <c r="G311" s="565"/>
      <c r="H311" s="565"/>
      <c r="I311" s="565"/>
      <c r="J311" s="565"/>
      <c r="K311" s="566"/>
      <c r="L311" s="234">
        <f>ROUND(I316,2)</f>
        <v>180</v>
      </c>
      <c r="M311" s="233" t="str">
        <f>INDEX(ORÇAMENTO!F:F,MATCH(A311,ORÇAMENTO!A:A,0))</f>
        <v>m</v>
      </c>
      <c r="O311" s="318">
        <f>IFERROR(IF(L311="","",INDEX(ORÇAMENTO!C:C,MATCH(A311,ORÇAMENTO!A:A,0))),"")</f>
        <v>2003405</v>
      </c>
      <c r="P311" s="93" t="str">
        <f>IFERROR(IF(L311="","",INDEX(ORÇAMENTO!D:D,MATCH(A311,ORÇAMENTO!A:A,0))),"")</f>
        <v>SICRO</v>
      </c>
    </row>
    <row r="312" spans="1:16" s="158" customFormat="1" ht="30" customHeight="1">
      <c r="A312" s="260" t="s">
        <v>11</v>
      </c>
      <c r="B312" s="261"/>
      <c r="C312" s="262" t="s">
        <v>42</v>
      </c>
      <c r="D312" s="262" t="s">
        <v>41</v>
      </c>
      <c r="E312" s="262" t="s">
        <v>43</v>
      </c>
      <c r="F312" s="262" t="s">
        <v>44</v>
      </c>
      <c r="G312" s="262" t="s">
        <v>45</v>
      </c>
      <c r="H312" s="262" t="s">
        <v>46</v>
      </c>
      <c r="I312" s="264" t="s">
        <v>583</v>
      </c>
      <c r="J312" s="261"/>
      <c r="K312" s="261"/>
      <c r="L312" s="236"/>
      <c r="M312" s="261"/>
      <c r="O312" s="318" t="str">
        <f>IFERROR(IF(L312="","",INDEX(ORÇAMENTO!C:C,MATCH(A312,ORÇAMENTO!A:A,0))),"")</f>
        <v/>
      </c>
      <c r="P312" s="93" t="str">
        <f>IFERROR(IF(L312="","",INDEX(ORÇAMENTO!D:D,MATCH(A312,ORÇAMENTO!A:A,0))),"")</f>
        <v/>
      </c>
    </row>
    <row r="313" spans="1:16" s="158" customFormat="1" ht="30" customHeight="1">
      <c r="A313" s="261"/>
      <c r="B313" s="346" t="s">
        <v>600</v>
      </c>
      <c r="C313" s="265">
        <v>30</v>
      </c>
      <c r="D313" s="265" t="s">
        <v>206</v>
      </c>
      <c r="E313" s="265" t="s">
        <v>206</v>
      </c>
      <c r="F313" s="265">
        <v>4</v>
      </c>
      <c r="G313" s="265" t="s">
        <v>206</v>
      </c>
      <c r="H313" s="265" t="s">
        <v>206</v>
      </c>
      <c r="I313" s="265">
        <f>PRODUCT(C313:G313)</f>
        <v>120</v>
      </c>
      <c r="J313" s="261"/>
      <c r="K313" s="261"/>
      <c r="L313" s="236"/>
      <c r="M313" s="261"/>
      <c r="O313" s="318" t="str">
        <f>IFERROR(IF(L313="","",INDEX(ORÇAMENTO!C:C,MATCH(A313,ORÇAMENTO!A:A,0))),"")</f>
        <v/>
      </c>
      <c r="P313" s="93" t="str">
        <f>IFERROR(IF(L313="","",INDEX(ORÇAMENTO!D:D,MATCH(A313,ORÇAMENTO!A:A,0))),"")</f>
        <v/>
      </c>
    </row>
    <row r="314" spans="1:16" s="158" customFormat="1" ht="30" customHeight="1">
      <c r="A314" s="261"/>
      <c r="B314" s="346" t="s">
        <v>613</v>
      </c>
      <c r="C314" s="265">
        <v>30</v>
      </c>
      <c r="D314" s="265" t="s">
        <v>206</v>
      </c>
      <c r="E314" s="265" t="s">
        <v>206</v>
      </c>
      <c r="F314" s="265">
        <v>1</v>
      </c>
      <c r="G314" s="265" t="s">
        <v>206</v>
      </c>
      <c r="H314" s="265" t="s">
        <v>206</v>
      </c>
      <c r="I314" s="265">
        <f>PRODUCT(C314:G314)</f>
        <v>30</v>
      </c>
      <c r="J314" s="261"/>
      <c r="K314" s="261"/>
      <c r="L314" s="236"/>
      <c r="M314" s="261"/>
      <c r="O314" s="318" t="str">
        <f>IFERROR(IF(L314="","",INDEX(ORÇAMENTO!C:C,MATCH(A314,ORÇAMENTO!A:A,0))),"")</f>
        <v/>
      </c>
      <c r="P314" s="93" t="str">
        <f>IFERROR(IF(L314="","",INDEX(ORÇAMENTO!D:D,MATCH(A314,ORÇAMENTO!A:A,0))),"")</f>
        <v/>
      </c>
    </row>
    <row r="315" spans="1:16" s="158" customFormat="1" ht="30" customHeight="1">
      <c r="A315" s="261"/>
      <c r="B315" s="346" t="s">
        <v>612</v>
      </c>
      <c r="C315" s="265">
        <v>30</v>
      </c>
      <c r="D315" s="265" t="s">
        <v>206</v>
      </c>
      <c r="E315" s="265" t="s">
        <v>206</v>
      </c>
      <c r="F315" s="265">
        <v>1</v>
      </c>
      <c r="G315" s="265" t="s">
        <v>206</v>
      </c>
      <c r="H315" s="265" t="s">
        <v>206</v>
      </c>
      <c r="I315" s="265">
        <f>PRODUCT(C315:G315)</f>
        <v>30</v>
      </c>
      <c r="J315" s="261"/>
      <c r="K315" s="261"/>
      <c r="L315" s="236"/>
      <c r="M315" s="261"/>
      <c r="O315" s="318" t="str">
        <f>IFERROR(IF(L315="","",INDEX(ORÇAMENTO!C:C,MATCH(A315,ORÇAMENTO!A:A,0))),"")</f>
        <v/>
      </c>
      <c r="P315" s="93" t="str">
        <f>IFERROR(IF(L315="","",INDEX(ORÇAMENTO!D:D,MATCH(A315,ORÇAMENTO!A:A,0))),"")</f>
        <v/>
      </c>
    </row>
    <row r="316" spans="1:16" s="158" customFormat="1">
      <c r="A316" s="261"/>
      <c r="B316" s="266"/>
      <c r="C316" s="267"/>
      <c r="D316" s="267"/>
      <c r="E316" s="268"/>
      <c r="F316" s="269"/>
      <c r="G316" s="269"/>
      <c r="H316" s="269" t="s">
        <v>47</v>
      </c>
      <c r="I316" s="270">
        <f>SUM(I313:I315)</f>
        <v>180</v>
      </c>
      <c r="J316" s="268"/>
      <c r="K316" s="268"/>
      <c r="L316" s="271"/>
      <c r="M316" s="268"/>
      <c r="O316" s="318" t="str">
        <f>IFERROR(IF(L316="","",INDEX(ORÇAMENTO!C:C,MATCH(A316,ORÇAMENTO!A:A,0))),"")</f>
        <v/>
      </c>
      <c r="P316" s="93" t="str">
        <f>IFERROR(IF(L316="","",INDEX(ORÇAMENTO!D:D,MATCH(A316,ORÇAMENTO!A:A,0))),"")</f>
        <v/>
      </c>
    </row>
    <row r="317" spans="1:16" s="158" customFormat="1" ht="30" customHeight="1">
      <c r="A317" s="233" t="s">
        <v>435</v>
      </c>
      <c r="B317" s="564" t="str">
        <f>INDEX(ORÇAMENTO!E:E,MATCH(A317,ORÇAMENTO!A:A,0))</f>
        <v>ENTRADA PARA DESCIDA DÁGUA - EDA 02 
- AREIA E BRITA  COMERCIAL</v>
      </c>
      <c r="C317" s="565"/>
      <c r="D317" s="565"/>
      <c r="E317" s="565"/>
      <c r="F317" s="565"/>
      <c r="G317" s="565"/>
      <c r="H317" s="565"/>
      <c r="I317" s="565"/>
      <c r="J317" s="565"/>
      <c r="K317" s="566"/>
      <c r="L317" s="234">
        <f>ROUND(I320,2)</f>
        <v>4</v>
      </c>
      <c r="M317" s="233" t="str">
        <f>INDEX(ORÇAMENTO!F:F,MATCH(A317,ORÇAMENTO!A:A,0))</f>
        <v>und</v>
      </c>
      <c r="O317" s="318">
        <f>IFERROR(IF(L317="","",INDEX(ORÇAMENTO!C:C,MATCH(A317,ORÇAMENTO!A:A,0))),"")</f>
        <v>2003387</v>
      </c>
      <c r="P317" s="93" t="str">
        <f>IFERROR(IF(L317="","",INDEX(ORÇAMENTO!D:D,MATCH(A317,ORÇAMENTO!A:A,0))),"")</f>
        <v>SICRO</v>
      </c>
    </row>
    <row r="318" spans="1:16" s="158" customFormat="1" ht="30" customHeight="1">
      <c r="A318" s="260" t="s">
        <v>11</v>
      </c>
      <c r="B318" s="261"/>
      <c r="C318" s="262" t="s">
        <v>42</v>
      </c>
      <c r="D318" s="262" t="s">
        <v>41</v>
      </c>
      <c r="E318" s="262" t="s">
        <v>43</v>
      </c>
      <c r="F318" s="262" t="s">
        <v>44</v>
      </c>
      <c r="G318" s="262" t="s">
        <v>45</v>
      </c>
      <c r="H318" s="262" t="s">
        <v>46</v>
      </c>
      <c r="I318" s="264" t="s">
        <v>584</v>
      </c>
      <c r="J318" s="261"/>
      <c r="K318" s="261"/>
      <c r="L318" s="236"/>
      <c r="M318" s="261"/>
      <c r="O318" s="318" t="str">
        <f>IFERROR(IF(L318="","",INDEX(ORÇAMENTO!C:C,MATCH(A318,ORÇAMENTO!A:A,0))),"")</f>
        <v/>
      </c>
      <c r="P318" s="93" t="str">
        <f>IFERROR(IF(L318="","",INDEX(ORÇAMENTO!D:D,MATCH(A318,ORÇAMENTO!A:A,0))),"")</f>
        <v/>
      </c>
    </row>
    <row r="319" spans="1:16" s="158" customFormat="1" ht="30" customHeight="1">
      <c r="A319" s="261"/>
      <c r="B319" s="346" t="s">
        <v>585</v>
      </c>
      <c r="C319" s="265" t="s">
        <v>206</v>
      </c>
      <c r="D319" s="265" t="s">
        <v>206</v>
      </c>
      <c r="E319" s="265" t="s">
        <v>206</v>
      </c>
      <c r="F319" s="265">
        <v>4</v>
      </c>
      <c r="G319" s="265" t="s">
        <v>206</v>
      </c>
      <c r="H319" s="265" t="s">
        <v>206</v>
      </c>
      <c r="I319" s="265">
        <f>PRODUCT(C319:H319)</f>
        <v>4</v>
      </c>
      <c r="J319" s="261"/>
      <c r="K319" s="261"/>
      <c r="L319" s="236"/>
      <c r="M319" s="261"/>
      <c r="O319" s="318" t="str">
        <f>IFERROR(IF(L319="","",INDEX(ORÇAMENTO!C:C,MATCH(A319,ORÇAMENTO!A:A,0))),"")</f>
        <v/>
      </c>
      <c r="P319" s="93" t="str">
        <f>IFERROR(IF(L319="","",INDEX(ORÇAMENTO!D:D,MATCH(A319,ORÇAMENTO!A:A,0))),"")</f>
        <v/>
      </c>
    </row>
    <row r="320" spans="1:16" s="158" customFormat="1">
      <c r="A320" s="261"/>
      <c r="B320" s="266"/>
      <c r="C320" s="267"/>
      <c r="D320" s="267"/>
      <c r="E320" s="268"/>
      <c r="F320" s="269"/>
      <c r="G320" s="269"/>
      <c r="H320" s="269" t="s">
        <v>47</v>
      </c>
      <c r="I320" s="270">
        <f>SUM(I319:I319)</f>
        <v>4</v>
      </c>
      <c r="J320" s="268"/>
      <c r="K320" s="268"/>
      <c r="L320" s="271"/>
      <c r="M320" s="268"/>
      <c r="O320" s="318" t="str">
        <f>IFERROR(IF(L320="","",INDEX(ORÇAMENTO!C:C,MATCH(A320,ORÇAMENTO!A:A,0))),"")</f>
        <v/>
      </c>
      <c r="P320" s="93" t="str">
        <f>IFERROR(IF(L320="","",INDEX(ORÇAMENTO!D:D,MATCH(A320,ORÇAMENTO!A:A,0))),"")</f>
        <v/>
      </c>
    </row>
    <row r="321" spans="1:16" s="158" customFormat="1" ht="30" customHeight="1">
      <c r="A321" s="233" t="s">
        <v>616</v>
      </c>
      <c r="B321" s="564" t="str">
        <f>INDEX(ORÇAMENTO!E:E,MATCH(A321,ORÇAMENTO!A:A,0))</f>
        <v>CANALETA TRAPEZOIDAL DE CONCRETO (40x50) - AREIA E BRITA  COMERCIAL</v>
      </c>
      <c r="C321" s="565"/>
      <c r="D321" s="565"/>
      <c r="E321" s="565"/>
      <c r="F321" s="565"/>
      <c r="G321" s="565"/>
      <c r="H321" s="565"/>
      <c r="I321" s="565"/>
      <c r="J321" s="565"/>
      <c r="K321" s="566"/>
      <c r="L321" s="234">
        <f>ROUND(I324,2)</f>
        <v>147</v>
      </c>
      <c r="M321" s="233" t="str">
        <f>INDEX(ORÇAMENTO!F:F,MATCH(A321,ORÇAMENTO!A:A,0))</f>
        <v>m</v>
      </c>
      <c r="O321" s="161" t="str">
        <f>IFERROR(IF(L321="","",INDEX(ORÇAMENTO!C:C,MATCH(A321,ORÇAMENTO!A:A,0))),"")</f>
        <v>COMP5 - SICRO 2003343</v>
      </c>
      <c r="P321" s="93">
        <f>IFERROR(IF(L321="","",INDEX(ORÇAMENTO!D:D,MATCH(A321,ORÇAMENTO!A:A,0))),"")</f>
        <v>0</v>
      </c>
    </row>
    <row r="322" spans="1:16" s="158" customFormat="1" ht="30" customHeight="1">
      <c r="A322" s="260" t="s">
        <v>11</v>
      </c>
      <c r="B322" s="261"/>
      <c r="C322" s="262" t="s">
        <v>42</v>
      </c>
      <c r="D322" s="262" t="s">
        <v>41</v>
      </c>
      <c r="E322" s="262" t="s">
        <v>43</v>
      </c>
      <c r="F322" s="262" t="s">
        <v>44</v>
      </c>
      <c r="G322" s="262" t="s">
        <v>45</v>
      </c>
      <c r="H322" s="262" t="s">
        <v>46</v>
      </c>
      <c r="I322" s="264" t="s">
        <v>583</v>
      </c>
      <c r="J322" s="261"/>
      <c r="K322" s="261"/>
      <c r="L322" s="236"/>
      <c r="M322" s="261"/>
      <c r="O322" s="318" t="str">
        <f>IFERROR(IF(L322="","",INDEX(ORÇAMENTO!C:C,MATCH(A322,ORÇAMENTO!A:A,0))),"")</f>
        <v/>
      </c>
      <c r="P322" s="93" t="str">
        <f>IFERROR(IF(L322="","",INDEX(ORÇAMENTO!D:D,MATCH(A322,ORÇAMENTO!A:A,0))),"")</f>
        <v/>
      </c>
    </row>
    <row r="323" spans="1:16" s="158" customFormat="1" ht="30" customHeight="1">
      <c r="A323" s="261"/>
      <c r="B323" s="346" t="s">
        <v>628</v>
      </c>
      <c r="C323" s="265">
        <v>147</v>
      </c>
      <c r="D323" s="265" t="s">
        <v>206</v>
      </c>
      <c r="E323" s="265" t="s">
        <v>206</v>
      </c>
      <c r="F323" s="265"/>
      <c r="G323" s="265" t="s">
        <v>206</v>
      </c>
      <c r="H323" s="265" t="s">
        <v>206</v>
      </c>
      <c r="I323" s="265">
        <f>PRODUCT(C323:H323)</f>
        <v>147</v>
      </c>
      <c r="J323" s="261"/>
      <c r="K323" s="261"/>
      <c r="L323" s="236"/>
      <c r="M323" s="261"/>
      <c r="O323" s="318" t="str">
        <f>IFERROR(IF(L323="","",INDEX(ORÇAMENTO!C:C,MATCH(A323,ORÇAMENTO!A:A,0))),"")</f>
        <v/>
      </c>
      <c r="P323" s="93" t="str">
        <f>IFERROR(IF(L323="","",INDEX(ORÇAMENTO!D:D,MATCH(A323,ORÇAMENTO!A:A,0))),"")</f>
        <v/>
      </c>
    </row>
    <row r="324" spans="1:16" s="158" customFormat="1">
      <c r="A324" s="261"/>
      <c r="B324" s="266"/>
      <c r="C324" s="267"/>
      <c r="D324" s="267"/>
      <c r="E324" s="268"/>
      <c r="F324" s="269"/>
      <c r="G324" s="269"/>
      <c r="H324" s="269" t="s">
        <v>47</v>
      </c>
      <c r="I324" s="270">
        <f>SUM(I323:I323)</f>
        <v>147</v>
      </c>
      <c r="J324" s="268"/>
      <c r="K324" s="268"/>
      <c r="L324" s="271"/>
      <c r="M324" s="268"/>
      <c r="O324" s="318" t="str">
        <f>IFERROR(IF(L324="","",INDEX(ORÇAMENTO!C:C,MATCH(A324,ORÇAMENTO!A:A,0))),"")</f>
        <v/>
      </c>
      <c r="P324" s="93" t="str">
        <f>IFERROR(IF(L324="","",INDEX(ORÇAMENTO!D:D,MATCH(A324,ORÇAMENTO!A:A,0))),"")</f>
        <v/>
      </c>
    </row>
    <row r="325" spans="1:16" s="158" customFormat="1" ht="30" customHeight="1">
      <c r="A325" s="272">
        <v>8</v>
      </c>
      <c r="B325" s="276" t="str">
        <f>INDEX(ORÇAMENTO!E:E,MATCH(A325,ORÇAMENTO!A:A,0))</f>
        <v>IMPERMEABILIZAÇÃO DO FOREBAY</v>
      </c>
      <c r="C325" s="274"/>
      <c r="D325" s="274"/>
      <c r="E325" s="274"/>
      <c r="F325" s="274"/>
      <c r="G325" s="274"/>
      <c r="H325" s="274"/>
      <c r="I325" s="274"/>
      <c r="J325" s="274"/>
      <c r="K325" s="274"/>
      <c r="L325" s="274"/>
      <c r="M325" s="277"/>
      <c r="O325" s="318" t="str">
        <f>IFERROR(IF(L325="","",INDEX(ORÇAMENTO!C:C,MATCH(A325,ORÇAMENTO!A:A,0))),"")</f>
        <v/>
      </c>
      <c r="P325" s="93" t="str">
        <f>IFERROR(IF(L325="","",INDEX(ORÇAMENTO!D:D,MATCH(A325,ORÇAMENTO!A:A,0))),"")</f>
        <v/>
      </c>
    </row>
    <row r="326" spans="1:16" s="158" customFormat="1" ht="30" customHeight="1">
      <c r="A326" s="278" t="s">
        <v>562</v>
      </c>
      <c r="B326" s="576" t="str">
        <f>INDEX(ORÇAMENTO!E:E,MATCH(A326,ORÇAMENTO!A:A,0))</f>
        <v>SERVIÇOS DE IMPERMEABILIZAÇÃO COM POLIÚREIA</v>
      </c>
      <c r="C326" s="577"/>
      <c r="D326" s="577"/>
      <c r="E326" s="577"/>
      <c r="F326" s="577"/>
      <c r="G326" s="577"/>
      <c r="H326" s="577"/>
      <c r="I326" s="577"/>
      <c r="J326" s="577"/>
      <c r="K326" s="577"/>
      <c r="L326" s="577"/>
      <c r="M326" s="578"/>
      <c r="O326" s="318" t="str">
        <f>IFERROR(IF(L326="","",INDEX(ORÇAMENTO!C:C,MATCH(A326,ORÇAMENTO!A:A,0))),"")</f>
        <v/>
      </c>
      <c r="P326" s="93" t="str">
        <f>IFERROR(IF(L326="","",INDEX(ORÇAMENTO!D:D,MATCH(A326,ORÇAMENTO!A:A,0))),"")</f>
        <v/>
      </c>
    </row>
    <row r="327" spans="1:16" s="158" customFormat="1" ht="35.25" customHeight="1">
      <c r="A327" s="233" t="s">
        <v>564</v>
      </c>
      <c r="B327" s="564" t="str">
        <f>INDEX(ORÇAMENTO!E:E,MATCH(A327,ORÇAMENTO!A:A,0))</f>
        <v>APLICAÇÃO DE POLIUREIA EM ESTUTURA DE CONCRETO - FORNECIMENTO, TRATAMENTO DA SUPERFICIE E APLICAÇÃO</v>
      </c>
      <c r="C327" s="565"/>
      <c r="D327" s="565"/>
      <c r="E327" s="565"/>
      <c r="F327" s="565"/>
      <c r="G327" s="565"/>
      <c r="H327" s="565"/>
      <c r="I327" s="565"/>
      <c r="J327" s="565"/>
      <c r="K327" s="566"/>
      <c r="L327" s="234">
        <f>ROUND(G330,2)</f>
        <v>11346</v>
      </c>
      <c r="M327" s="233" t="str">
        <f>INDEX(ORÇAMENTO!F:F,MATCH(A327,ORÇAMENTO!A:A,0))</f>
        <v>m²</v>
      </c>
      <c r="O327" s="318" t="str">
        <f>IFERROR(IF(L327="","",INDEX(ORÇAMENTO!C:C,MATCH(A327,ORÇAMENTO!A:A,0))),"")</f>
        <v>COT3</v>
      </c>
      <c r="P327" s="93" t="str">
        <f>IFERROR(IF(L327="","",INDEX(ORÇAMENTO!D:D,MATCH(A327,ORÇAMENTO!A:A,0))),"")</f>
        <v>COTAÇÃO</v>
      </c>
    </row>
    <row r="328" spans="1:16" s="158" customFormat="1" ht="30" customHeight="1">
      <c r="A328" s="260" t="s">
        <v>11</v>
      </c>
      <c r="B328" s="261"/>
      <c r="C328" s="262" t="s">
        <v>42</v>
      </c>
      <c r="D328" s="262" t="s">
        <v>41</v>
      </c>
      <c r="E328" s="262" t="s">
        <v>43</v>
      </c>
      <c r="F328" s="262" t="s">
        <v>44</v>
      </c>
      <c r="G328" s="262" t="s">
        <v>45</v>
      </c>
      <c r="H328" s="262"/>
      <c r="I328" s="263"/>
      <c r="J328" s="264"/>
      <c r="K328" s="261"/>
      <c r="L328" s="236"/>
      <c r="M328" s="261"/>
      <c r="O328" s="318" t="str">
        <f>IFERROR(IF(L328="","",INDEX(ORÇAMENTO!C:C,MATCH(A328,ORÇAMENTO!A:A,0))),"")</f>
        <v/>
      </c>
      <c r="P328" s="93" t="str">
        <f>IFERROR(IF(L328="","",INDEX(ORÇAMENTO!D:D,MATCH(A328,ORÇAMENTO!A:A,0))),"")</f>
        <v/>
      </c>
    </row>
    <row r="329" spans="1:16" s="158" customFormat="1" ht="30" customHeight="1">
      <c r="A329" s="261"/>
      <c r="B329" s="345" t="s">
        <v>568</v>
      </c>
      <c r="C329" s="265" t="s">
        <v>206</v>
      </c>
      <c r="D329" s="265" t="s">
        <v>206</v>
      </c>
      <c r="E329" s="265" t="s">
        <v>206</v>
      </c>
      <c r="F329" s="265" t="s">
        <v>206</v>
      </c>
      <c r="G329" s="265">
        <v>11346</v>
      </c>
      <c r="H329" s="265" t="s">
        <v>567</v>
      </c>
      <c r="I329" s="265"/>
      <c r="J329" s="265"/>
      <c r="K329" s="261"/>
      <c r="L329" s="236"/>
      <c r="M329" s="261"/>
      <c r="O329" s="318" t="str">
        <f>IFERROR(IF(L329="","",INDEX(ORÇAMENTO!C:C,MATCH(A329,ORÇAMENTO!A:A,0))),"")</f>
        <v/>
      </c>
      <c r="P329" s="93" t="str">
        <f>IFERROR(IF(L329="","",INDEX(ORÇAMENTO!D:D,MATCH(A329,ORÇAMENTO!A:A,0))),"")</f>
        <v/>
      </c>
    </row>
    <row r="330" spans="1:16" s="158" customFormat="1">
      <c r="A330" s="261"/>
      <c r="B330" s="266"/>
      <c r="C330" s="267"/>
      <c r="D330" s="267"/>
      <c r="E330" s="268"/>
      <c r="F330" s="269" t="s">
        <v>47</v>
      </c>
      <c r="G330" s="270">
        <f>SUM(G329)</f>
        <v>11346</v>
      </c>
      <c r="H330" s="268"/>
      <c r="I330" s="268"/>
      <c r="J330" s="268"/>
      <c r="K330" s="268"/>
      <c r="L330" s="271"/>
      <c r="M330" s="268"/>
      <c r="O330" s="318" t="str">
        <f>IFERROR(IF(L330="","",INDEX(ORÇAMENTO!C:C,MATCH(A330,ORÇAMENTO!A:A,0))),"")</f>
        <v/>
      </c>
      <c r="P330" s="93" t="str">
        <f>IFERROR(IF(L330="","",INDEX(ORÇAMENTO!D:D,MATCH(A330,ORÇAMENTO!A:A,0))),"")</f>
        <v/>
      </c>
    </row>
    <row r="331" spans="1:16" s="66" customFormat="1">
      <c r="B331" s="95"/>
      <c r="G331" s="1"/>
      <c r="O331" s="318" t="str">
        <f>IFERROR(IF(L331="","",INDEX(ORÇAMENTO!C:C,MATCH(A331,ORÇAMENTO!A:A,0))),"")</f>
        <v/>
      </c>
      <c r="P331" s="93" t="str">
        <f>IFERROR(IF(L331="","",INDEX(ORÇAMENTO!D:D,MATCH(A331,ORÇAMENTO!A:A,0))),"")</f>
        <v/>
      </c>
    </row>
  </sheetData>
  <mergeCells count="87">
    <mergeCell ref="B125:K125"/>
    <mergeCell ref="B109:K109"/>
    <mergeCell ref="B75:K75"/>
    <mergeCell ref="B152:M152"/>
    <mergeCell ref="B153:K153"/>
    <mergeCell ref="B133:K133"/>
    <mergeCell ref="B148:K148"/>
    <mergeCell ref="B114:K114"/>
    <mergeCell ref="B119:K119"/>
    <mergeCell ref="B124:M124"/>
    <mergeCell ref="B173:K173"/>
    <mergeCell ref="B139:K139"/>
    <mergeCell ref="B144:K144"/>
    <mergeCell ref="B161:K161"/>
    <mergeCell ref="B165:K165"/>
    <mergeCell ref="B169:K169"/>
    <mergeCell ref="B206:K206"/>
    <mergeCell ref="B226:K226"/>
    <mergeCell ref="B225:M225"/>
    <mergeCell ref="B179:K179"/>
    <mergeCell ref="B210:K210"/>
    <mergeCell ref="B214:K214"/>
    <mergeCell ref="B220:K220"/>
    <mergeCell ref="B192:K192"/>
    <mergeCell ref="B196:M196"/>
    <mergeCell ref="B197:K197"/>
    <mergeCell ref="B201:K201"/>
    <mergeCell ref="B185:K185"/>
    <mergeCell ref="B70:M70"/>
    <mergeCell ref="B71:K71"/>
    <mergeCell ref="B108:M108"/>
    <mergeCell ref="B83:K83"/>
    <mergeCell ref="B52:K52"/>
    <mergeCell ref="B87:K87"/>
    <mergeCell ref="B79:K79"/>
    <mergeCell ref="B91:K91"/>
    <mergeCell ref="B95:K95"/>
    <mergeCell ref="B99:K99"/>
    <mergeCell ref="B103:K103"/>
    <mergeCell ref="A4:M4"/>
    <mergeCell ref="B32:M32"/>
    <mergeCell ref="B33:K33"/>
    <mergeCell ref="B51:M51"/>
    <mergeCell ref="B8:K8"/>
    <mergeCell ref="B20:K20"/>
    <mergeCell ref="B12:K12"/>
    <mergeCell ref="B24:K24"/>
    <mergeCell ref="B28:K28"/>
    <mergeCell ref="B16:K16"/>
    <mergeCell ref="B7:M7"/>
    <mergeCell ref="B232:M232"/>
    <mergeCell ref="B233:K233"/>
    <mergeCell ref="B240:K240"/>
    <mergeCell ref="B244:M244"/>
    <mergeCell ref="B245:K245"/>
    <mergeCell ref="B249:K249"/>
    <mergeCell ref="B253:M253"/>
    <mergeCell ref="B254:K254"/>
    <mergeCell ref="B258:K258"/>
    <mergeCell ref="B326:M326"/>
    <mergeCell ref="C304:I304"/>
    <mergeCell ref="B278:K278"/>
    <mergeCell ref="B282:K282"/>
    <mergeCell ref="B286:K286"/>
    <mergeCell ref="B290:K290"/>
    <mergeCell ref="B298:K298"/>
    <mergeCell ref="B268:H268"/>
    <mergeCell ref="B272:H272"/>
    <mergeCell ref="B276:H276"/>
    <mergeCell ref="B280:H280"/>
    <mergeCell ref="B284:H284"/>
    <mergeCell ref="B327:K327"/>
    <mergeCell ref="B262:K262"/>
    <mergeCell ref="B307:K307"/>
    <mergeCell ref="B311:K311"/>
    <mergeCell ref="B317:K317"/>
    <mergeCell ref="B321:K321"/>
    <mergeCell ref="B266:M266"/>
    <mergeCell ref="B267:K267"/>
    <mergeCell ref="B270:K270"/>
    <mergeCell ref="B274:K274"/>
    <mergeCell ref="B302:K302"/>
    <mergeCell ref="B288:H288"/>
    <mergeCell ref="B292:H292"/>
    <mergeCell ref="B300:H300"/>
    <mergeCell ref="B294:K294"/>
    <mergeCell ref="B296:H296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K102"/>
  <sheetViews>
    <sheetView showGridLines="0" topLeftCell="A91" zoomScaleNormal="100" workbookViewId="0">
      <selection activeCell="R20" sqref="R20"/>
    </sheetView>
  </sheetViews>
  <sheetFormatPr defaultRowHeight="15"/>
  <cols>
    <col min="1" max="1" width="4.5703125" customWidth="1"/>
    <col min="2" max="2" width="14.28515625" customWidth="1"/>
    <col min="5" max="5" width="25.5703125" bestFit="1" customWidth="1"/>
    <col min="7" max="7" width="10" bestFit="1" customWidth="1"/>
    <col min="9" max="9" width="12.42578125" bestFit="1" customWidth="1"/>
  </cols>
  <sheetData>
    <row r="4" spans="2:10" ht="15.75" thickBot="1"/>
    <row r="5" spans="2:10" ht="16.5" thickBot="1">
      <c r="B5" s="590" t="s">
        <v>732</v>
      </c>
      <c r="C5" s="591"/>
      <c r="D5" s="591"/>
      <c r="E5" s="591"/>
      <c r="F5" s="591"/>
      <c r="G5" s="591"/>
      <c r="H5" s="591"/>
      <c r="I5" s="592"/>
    </row>
    <row r="7" spans="2:10">
      <c r="B7" s="597" t="s">
        <v>698</v>
      </c>
      <c r="C7" s="597"/>
      <c r="D7" s="597"/>
      <c r="E7" s="597"/>
      <c r="F7" s="597"/>
      <c r="G7" s="597"/>
      <c r="H7" s="597"/>
      <c r="I7" s="597"/>
      <c r="J7" s="450"/>
    </row>
    <row r="8" spans="2:10">
      <c r="B8" s="450"/>
      <c r="C8" s="450"/>
      <c r="D8" s="450"/>
      <c r="E8" s="450"/>
      <c r="F8" s="450"/>
      <c r="G8" s="450"/>
      <c r="H8" s="450"/>
      <c r="I8" s="450"/>
      <c r="J8" s="450"/>
    </row>
    <row r="9" spans="2:10">
      <c r="B9" s="454" t="s">
        <v>699</v>
      </c>
      <c r="C9" s="605" t="s">
        <v>700</v>
      </c>
      <c r="D9" s="606"/>
      <c r="E9" s="593" t="s">
        <v>41</v>
      </c>
      <c r="F9" s="594"/>
      <c r="G9" s="455" t="s">
        <v>43</v>
      </c>
      <c r="H9" s="456"/>
      <c r="I9" s="457" t="s">
        <v>701</v>
      </c>
      <c r="J9" s="450"/>
    </row>
    <row r="10" spans="2:10">
      <c r="B10" s="458">
        <v>1</v>
      </c>
      <c r="C10" s="595">
        <v>6.47</v>
      </c>
      <c r="D10" s="596"/>
      <c r="E10" s="595">
        <v>3</v>
      </c>
      <c r="F10" s="596"/>
      <c r="G10" s="470">
        <v>1</v>
      </c>
      <c r="H10" s="459"/>
      <c r="I10" s="460">
        <f>C10*E10*G10</f>
        <v>19.41</v>
      </c>
      <c r="J10" s="450"/>
    </row>
    <row r="11" spans="2:10">
      <c r="B11" s="458">
        <v>2</v>
      </c>
      <c r="C11" s="595">
        <v>7.47</v>
      </c>
      <c r="D11" s="596"/>
      <c r="E11" s="595">
        <v>3.5</v>
      </c>
      <c r="F11" s="596"/>
      <c r="G11" s="470">
        <v>1</v>
      </c>
      <c r="H11" s="459"/>
      <c r="I11" s="460">
        <f t="shared" ref="I11:I16" si="0">C11*E11*G11</f>
        <v>26.145</v>
      </c>
      <c r="J11" s="450"/>
    </row>
    <row r="12" spans="2:10">
      <c r="B12" s="458">
        <v>3</v>
      </c>
      <c r="C12" s="595">
        <v>5.18</v>
      </c>
      <c r="D12" s="596"/>
      <c r="E12" s="595">
        <v>3</v>
      </c>
      <c r="F12" s="596"/>
      <c r="G12" s="470">
        <v>1</v>
      </c>
      <c r="H12" s="459"/>
      <c r="I12" s="460">
        <f t="shared" si="0"/>
        <v>15.54</v>
      </c>
      <c r="J12" s="450"/>
    </row>
    <row r="13" spans="2:10">
      <c r="B13" s="458">
        <v>4</v>
      </c>
      <c r="C13" s="595">
        <v>6.91</v>
      </c>
      <c r="D13" s="596"/>
      <c r="E13" s="595">
        <v>9.9</v>
      </c>
      <c r="F13" s="596"/>
      <c r="G13" s="470">
        <v>1</v>
      </c>
      <c r="H13" s="459"/>
      <c r="I13" s="460">
        <f t="shared" si="0"/>
        <v>68.409000000000006</v>
      </c>
      <c r="J13" s="450"/>
    </row>
    <row r="14" spans="2:10">
      <c r="B14" s="458">
        <v>5</v>
      </c>
      <c r="C14" s="595">
        <v>4.54</v>
      </c>
      <c r="D14" s="596"/>
      <c r="E14" s="595">
        <v>3</v>
      </c>
      <c r="F14" s="596"/>
      <c r="G14" s="470">
        <v>1</v>
      </c>
      <c r="H14" s="459"/>
      <c r="I14" s="460">
        <f t="shared" si="0"/>
        <v>13.620000000000001</v>
      </c>
      <c r="J14" s="450"/>
    </row>
    <row r="15" spans="2:10">
      <c r="B15" s="458">
        <v>6</v>
      </c>
      <c r="C15" s="595">
        <v>7.73</v>
      </c>
      <c r="D15" s="596"/>
      <c r="E15" s="595">
        <v>3</v>
      </c>
      <c r="F15" s="596"/>
      <c r="G15" s="470">
        <v>1</v>
      </c>
      <c r="H15" s="459"/>
      <c r="I15" s="460">
        <f t="shared" si="0"/>
        <v>23.19</v>
      </c>
      <c r="J15" s="450"/>
    </row>
    <row r="16" spans="2:10">
      <c r="B16" s="458">
        <v>7</v>
      </c>
      <c r="C16" s="595">
        <v>5.6</v>
      </c>
      <c r="D16" s="596"/>
      <c r="E16" s="595">
        <v>3</v>
      </c>
      <c r="F16" s="596"/>
      <c r="G16" s="470">
        <v>1</v>
      </c>
      <c r="H16" s="459"/>
      <c r="I16" s="460">
        <f t="shared" si="0"/>
        <v>16.799999999999997</v>
      </c>
      <c r="J16" s="450"/>
    </row>
    <row r="17" spans="2:10" ht="15.75" thickBot="1">
      <c r="B17" s="461"/>
      <c r="C17" s="461"/>
      <c r="D17" s="461"/>
      <c r="E17" s="461"/>
      <c r="F17" s="461"/>
      <c r="G17" s="461"/>
      <c r="H17" s="461"/>
      <c r="I17" s="461"/>
      <c r="J17" s="450"/>
    </row>
    <row r="18" spans="2:10" ht="15.75" thickBot="1">
      <c r="B18" s="600" t="s">
        <v>702</v>
      </c>
      <c r="C18" s="600"/>
      <c r="D18" s="600"/>
      <c r="E18" s="600"/>
      <c r="F18" s="600"/>
      <c r="G18" s="600"/>
      <c r="H18" s="462"/>
      <c r="I18" s="463">
        <f>SUM(I10:I16)</f>
        <v>183.11400000000003</v>
      </c>
      <c r="J18" s="450"/>
    </row>
    <row r="19" spans="2:10" ht="15.75" thickBot="1">
      <c r="B19" s="461"/>
      <c r="C19" s="461"/>
      <c r="D19" s="461"/>
      <c r="E19" s="461"/>
      <c r="F19" s="461"/>
      <c r="G19" s="461"/>
      <c r="H19" s="461"/>
      <c r="I19" s="461"/>
      <c r="J19" s="450"/>
    </row>
    <row r="20" spans="2:10" ht="15.75" thickBot="1">
      <c r="B20" s="607" t="s">
        <v>703</v>
      </c>
      <c r="C20" s="607"/>
      <c r="D20" s="607"/>
      <c r="E20" s="607"/>
      <c r="F20" s="464"/>
      <c r="G20" s="465">
        <v>0.25</v>
      </c>
      <c r="H20" s="462"/>
      <c r="I20" s="463">
        <f>I18*(1+G20)</f>
        <v>228.89250000000004</v>
      </c>
      <c r="J20" s="450"/>
    </row>
    <row r="21" spans="2:10" ht="15.75" thickBot="1">
      <c r="B21" s="461"/>
      <c r="C21" s="461"/>
      <c r="D21" s="461"/>
      <c r="E21" s="461"/>
      <c r="F21" s="461"/>
      <c r="G21" s="461"/>
      <c r="H21" s="461"/>
      <c r="I21" s="461"/>
      <c r="J21" s="450"/>
    </row>
    <row r="22" spans="2:10" ht="15.75" thickBot="1">
      <c r="B22" s="600" t="s">
        <v>704</v>
      </c>
      <c r="C22" s="600"/>
      <c r="D22" s="466"/>
      <c r="E22" s="467">
        <v>1</v>
      </c>
      <c r="F22" s="467"/>
      <c r="G22" s="468" t="s">
        <v>139</v>
      </c>
      <c r="H22" s="462"/>
      <c r="I22" s="463"/>
      <c r="J22" s="450"/>
    </row>
    <row r="23" spans="2:10">
      <c r="B23" s="450"/>
      <c r="C23" s="450"/>
      <c r="D23" s="450"/>
      <c r="E23" s="450"/>
      <c r="F23" s="450"/>
      <c r="G23" s="450"/>
      <c r="H23" s="450"/>
      <c r="I23" s="450"/>
      <c r="J23" s="450"/>
    </row>
    <row r="24" spans="2:10">
      <c r="B24" s="450"/>
      <c r="C24" s="450"/>
      <c r="D24" s="450"/>
      <c r="E24" s="450"/>
      <c r="F24" s="450"/>
      <c r="G24" s="450"/>
      <c r="H24" s="450"/>
      <c r="I24" s="450"/>
      <c r="J24" s="450"/>
    </row>
    <row r="25" spans="2:10">
      <c r="B25" s="597" t="s">
        <v>705</v>
      </c>
      <c r="C25" s="597"/>
      <c r="D25" s="597"/>
      <c r="E25" s="597"/>
      <c r="F25" s="597"/>
      <c r="G25" s="597"/>
      <c r="H25" s="597"/>
      <c r="I25" s="597"/>
      <c r="J25" s="107"/>
    </row>
    <row r="26" spans="2:10">
      <c r="B26" s="469"/>
      <c r="C26" s="469"/>
      <c r="D26" s="469"/>
      <c r="E26" s="469"/>
      <c r="F26" s="469"/>
      <c r="G26" s="469"/>
      <c r="H26" s="469"/>
      <c r="I26" s="469"/>
      <c r="J26" s="107"/>
    </row>
    <row r="27" spans="2:10">
      <c r="B27" s="454" t="s">
        <v>699</v>
      </c>
      <c r="C27" s="593" t="s">
        <v>700</v>
      </c>
      <c r="D27" s="594"/>
      <c r="E27" s="593" t="s">
        <v>41</v>
      </c>
      <c r="F27" s="594"/>
      <c r="G27" s="455" t="s">
        <v>43</v>
      </c>
      <c r="H27" s="456"/>
      <c r="I27" s="457" t="s">
        <v>701</v>
      </c>
      <c r="J27" s="459"/>
    </row>
    <row r="28" spans="2:10">
      <c r="B28" s="458">
        <v>1</v>
      </c>
      <c r="C28" s="595">
        <v>6.47</v>
      </c>
      <c r="D28" s="596"/>
      <c r="E28" s="595">
        <v>3</v>
      </c>
      <c r="F28" s="596"/>
      <c r="G28" s="470">
        <v>2.5</v>
      </c>
      <c r="H28" s="459"/>
      <c r="I28" s="460">
        <f t="shared" ref="I28:I34" si="1">G28*E28*C28</f>
        <v>48.524999999999999</v>
      </c>
      <c r="J28" s="459"/>
    </row>
    <row r="29" spans="2:10">
      <c r="B29" s="458">
        <v>2</v>
      </c>
      <c r="C29" s="595">
        <v>7.47</v>
      </c>
      <c r="D29" s="596"/>
      <c r="E29" s="595">
        <v>3.5</v>
      </c>
      <c r="F29" s="596"/>
      <c r="G29" s="470">
        <v>2.5</v>
      </c>
      <c r="H29" s="459"/>
      <c r="I29" s="460">
        <f t="shared" si="1"/>
        <v>65.362499999999997</v>
      </c>
      <c r="J29" s="459"/>
    </row>
    <row r="30" spans="2:10">
      <c r="B30" s="458">
        <v>3</v>
      </c>
      <c r="C30" s="595">
        <v>5.18</v>
      </c>
      <c r="D30" s="596"/>
      <c r="E30" s="595">
        <v>3</v>
      </c>
      <c r="F30" s="596"/>
      <c r="G30" s="470">
        <v>2.5</v>
      </c>
      <c r="H30" s="459"/>
      <c r="I30" s="460">
        <f t="shared" si="1"/>
        <v>38.849999999999994</v>
      </c>
      <c r="J30" s="459"/>
    </row>
    <row r="31" spans="2:10">
      <c r="B31" s="458">
        <v>4</v>
      </c>
      <c r="C31" s="595">
        <v>6.91</v>
      </c>
      <c r="D31" s="596"/>
      <c r="E31" s="595">
        <v>9.9</v>
      </c>
      <c r="F31" s="596"/>
      <c r="G31" s="470">
        <v>2</v>
      </c>
      <c r="H31" s="459"/>
      <c r="I31" s="460">
        <f t="shared" si="1"/>
        <v>136.81800000000001</v>
      </c>
      <c r="J31" s="459"/>
    </row>
    <row r="32" spans="2:10">
      <c r="B32" s="458">
        <v>5</v>
      </c>
      <c r="C32" s="595">
        <v>4.54</v>
      </c>
      <c r="D32" s="596"/>
      <c r="E32" s="595">
        <v>3</v>
      </c>
      <c r="F32" s="596"/>
      <c r="G32" s="470">
        <v>2.5</v>
      </c>
      <c r="H32" s="459"/>
      <c r="I32" s="460">
        <f t="shared" si="1"/>
        <v>34.049999999999997</v>
      </c>
      <c r="J32" s="459"/>
    </row>
    <row r="33" spans="2:10">
      <c r="B33" s="458">
        <v>6</v>
      </c>
      <c r="C33" s="595">
        <v>7.73</v>
      </c>
      <c r="D33" s="596"/>
      <c r="E33" s="595">
        <v>3</v>
      </c>
      <c r="F33" s="596"/>
      <c r="G33" s="470">
        <v>2.5</v>
      </c>
      <c r="H33" s="459"/>
      <c r="I33" s="460">
        <f t="shared" si="1"/>
        <v>57.975000000000001</v>
      </c>
      <c r="J33" s="459"/>
    </row>
    <row r="34" spans="2:10">
      <c r="B34" s="458">
        <v>7</v>
      </c>
      <c r="C34" s="595">
        <v>5.6</v>
      </c>
      <c r="D34" s="596"/>
      <c r="E34" s="595">
        <v>3</v>
      </c>
      <c r="F34" s="596"/>
      <c r="G34" s="470">
        <v>2.5</v>
      </c>
      <c r="H34" s="459"/>
      <c r="I34" s="460">
        <f t="shared" si="1"/>
        <v>42</v>
      </c>
      <c r="J34" s="459"/>
    </row>
    <row r="35" spans="2:10" ht="15.75" thickBot="1">
      <c r="B35" s="461"/>
      <c r="C35" s="461"/>
      <c r="D35" s="461"/>
      <c r="E35" s="461"/>
      <c r="F35" s="461"/>
      <c r="G35" s="461"/>
      <c r="H35" s="461"/>
      <c r="I35" s="461"/>
      <c r="J35" s="459"/>
    </row>
    <row r="36" spans="2:10" ht="15.75" thickBot="1">
      <c r="B36" s="600" t="s">
        <v>706</v>
      </c>
      <c r="C36" s="600"/>
      <c r="D36" s="600"/>
      <c r="E36" s="600"/>
      <c r="F36" s="600"/>
      <c r="G36" s="600"/>
      <c r="H36" s="462"/>
      <c r="I36" s="463">
        <f>SUM(I28:I34)</f>
        <v>423.58050000000003</v>
      </c>
      <c r="J36" s="459"/>
    </row>
    <row r="37" spans="2:10" ht="15.75" thickBot="1">
      <c r="B37" s="461"/>
      <c r="C37" s="461"/>
      <c r="D37" s="461"/>
      <c r="E37" s="461"/>
      <c r="F37" s="461"/>
      <c r="G37" s="461"/>
      <c r="H37" s="461"/>
      <c r="I37" s="461"/>
      <c r="J37" s="459"/>
    </row>
    <row r="38" spans="2:10" ht="15.75" thickBot="1">
      <c r="B38" s="600" t="s">
        <v>707</v>
      </c>
      <c r="C38" s="600"/>
      <c r="D38" s="600"/>
      <c r="E38" s="600"/>
      <c r="F38" s="600"/>
      <c r="G38" s="600"/>
      <c r="H38" s="462"/>
      <c r="I38" s="463">
        <f>SUMPRODUCT(C28:C34,E28:E34)</f>
        <v>183.11400000000003</v>
      </c>
      <c r="J38" s="459"/>
    </row>
    <row r="39" spans="2:10">
      <c r="B39" s="461"/>
      <c r="C39" s="461"/>
      <c r="D39" s="461"/>
      <c r="E39" s="461"/>
      <c r="F39" s="461"/>
      <c r="G39" s="461"/>
      <c r="H39" s="461"/>
      <c r="I39" s="461"/>
      <c r="J39" s="459"/>
    </row>
    <row r="40" spans="2:10">
      <c r="B40" s="450"/>
      <c r="C40" s="450"/>
      <c r="D40" s="450"/>
      <c r="E40" s="450"/>
      <c r="F40" s="450"/>
      <c r="G40" s="450"/>
      <c r="H40" s="450"/>
      <c r="I40" s="450"/>
      <c r="J40" s="459"/>
    </row>
    <row r="41" spans="2:10">
      <c r="B41" s="597" t="s">
        <v>708</v>
      </c>
      <c r="C41" s="597"/>
      <c r="D41" s="597"/>
      <c r="E41" s="597"/>
      <c r="F41" s="597"/>
      <c r="G41" s="597"/>
      <c r="H41" s="597"/>
      <c r="I41" s="597"/>
      <c r="J41" s="459"/>
    </row>
    <row r="42" spans="2:10">
      <c r="B42" s="450"/>
      <c r="C42" s="450"/>
      <c r="D42" s="450"/>
      <c r="E42" s="450"/>
      <c r="F42" s="450"/>
      <c r="G42" s="450"/>
      <c r="H42" s="450"/>
      <c r="I42" s="450"/>
      <c r="J42" s="459"/>
    </row>
    <row r="43" spans="2:10">
      <c r="B43" s="107"/>
      <c r="C43" s="471" t="s">
        <v>709</v>
      </c>
      <c r="D43" s="472"/>
      <c r="E43" s="470">
        <v>2.4</v>
      </c>
      <c r="F43" s="473"/>
      <c r="G43" s="459"/>
      <c r="H43" s="450"/>
      <c r="I43" s="450"/>
      <c r="J43" s="459"/>
    </row>
    <row r="44" spans="2:10">
      <c r="B44" s="107"/>
      <c r="C44" s="471" t="s">
        <v>710</v>
      </c>
      <c r="D44" s="472"/>
      <c r="E44" s="470">
        <f>I36</f>
        <v>423.58050000000003</v>
      </c>
      <c r="F44" s="473"/>
      <c r="G44" s="107"/>
      <c r="H44" s="107"/>
      <c r="I44" s="450"/>
      <c r="J44" s="459"/>
    </row>
    <row r="45" spans="2:10">
      <c r="B45" s="107"/>
      <c r="C45" s="450"/>
      <c r="D45" s="450"/>
      <c r="E45" s="450"/>
      <c r="F45" s="450"/>
      <c r="G45" s="450"/>
      <c r="H45" s="450"/>
      <c r="I45" s="450"/>
      <c r="J45" s="459"/>
    </row>
    <row r="46" spans="2:10">
      <c r="B46" s="107"/>
      <c r="C46" s="474" t="s">
        <v>711</v>
      </c>
      <c r="D46" s="475"/>
      <c r="E46" s="476">
        <f>E43*E44</f>
        <v>1016.5932</v>
      </c>
      <c r="F46" s="477"/>
      <c r="G46" s="450"/>
      <c r="H46" s="450"/>
      <c r="I46" s="450"/>
      <c r="J46" s="459"/>
    </row>
    <row r="47" spans="2:10">
      <c r="B47" s="450"/>
      <c r="C47" s="450"/>
      <c r="D47" s="450"/>
      <c r="E47" s="450"/>
      <c r="F47" s="450"/>
      <c r="G47" s="450"/>
      <c r="H47" s="450"/>
      <c r="I47" s="450"/>
      <c r="J47" s="459"/>
    </row>
    <row r="48" spans="2:10">
      <c r="B48" s="601" t="s">
        <v>712</v>
      </c>
      <c r="C48" s="601"/>
      <c r="D48" s="478"/>
      <c r="E48" s="479">
        <v>40</v>
      </c>
      <c r="F48" s="479"/>
      <c r="G48" s="480" t="s">
        <v>139</v>
      </c>
      <c r="H48" s="462"/>
      <c r="I48" s="473"/>
      <c r="J48" s="459"/>
    </row>
    <row r="49" spans="2:10" ht="15.75" thickBot="1">
      <c r="B49" s="450"/>
      <c r="C49" s="450"/>
      <c r="D49" s="450"/>
      <c r="E49" s="450"/>
      <c r="F49" s="450"/>
      <c r="G49" s="450"/>
      <c r="H49" s="450"/>
      <c r="I49" s="450"/>
      <c r="J49" s="459"/>
    </row>
    <row r="50" spans="2:10" ht="16.5" thickBot="1">
      <c r="B50" s="481" t="s">
        <v>713</v>
      </c>
      <c r="C50" s="482"/>
      <c r="D50" s="483"/>
      <c r="E50" s="484">
        <f>E46*E48</f>
        <v>40663.728000000003</v>
      </c>
      <c r="F50" s="484"/>
      <c r="G50" s="485" t="s">
        <v>714</v>
      </c>
      <c r="H50" s="107"/>
      <c r="I50" s="450"/>
      <c r="J50" s="459"/>
    </row>
    <row r="51" spans="2:10">
      <c r="B51" s="450"/>
      <c r="C51" s="450"/>
      <c r="D51" s="450"/>
      <c r="E51" s="450"/>
      <c r="F51" s="450"/>
      <c r="G51" s="450"/>
      <c r="H51" s="450"/>
      <c r="I51" s="450"/>
      <c r="J51" s="459"/>
    </row>
    <row r="52" spans="2:10">
      <c r="B52" s="597" t="s">
        <v>715</v>
      </c>
      <c r="C52" s="597"/>
      <c r="D52" s="597"/>
      <c r="E52" s="597"/>
      <c r="F52" s="597"/>
      <c r="G52" s="597"/>
      <c r="H52" s="597"/>
      <c r="I52" s="597"/>
      <c r="J52" s="459"/>
    </row>
    <row r="53" spans="2:10" ht="15.75" thickBot="1">
      <c r="B53" s="450"/>
      <c r="C53" s="450"/>
      <c r="D53" s="450"/>
      <c r="E53" s="450"/>
      <c r="F53" s="450"/>
      <c r="G53" s="450"/>
      <c r="H53" s="450"/>
      <c r="I53" s="450"/>
      <c r="J53" s="459"/>
    </row>
    <row r="54" spans="2:10" ht="36.75" customHeight="1" thickBot="1">
      <c r="B54" s="608" t="s">
        <v>716</v>
      </c>
      <c r="C54" s="608"/>
      <c r="D54" s="608"/>
      <c r="E54" s="608"/>
      <c r="F54" s="486"/>
      <c r="G54" s="487">
        <v>0.25</v>
      </c>
      <c r="H54" s="462"/>
      <c r="I54" s="463">
        <f>I20</f>
        <v>228.89250000000004</v>
      </c>
      <c r="J54" s="459"/>
    </row>
    <row r="55" spans="2:10" ht="15.75" thickBot="1">
      <c r="B55" s="486"/>
      <c r="C55" s="486"/>
      <c r="D55" s="486"/>
      <c r="E55" s="486"/>
      <c r="F55" s="486"/>
      <c r="G55" s="487"/>
      <c r="H55" s="462"/>
      <c r="I55" s="463"/>
      <c r="J55" s="459"/>
    </row>
    <row r="56" spans="2:10" ht="15.75" thickBot="1">
      <c r="B56" s="599" t="s">
        <v>717</v>
      </c>
      <c r="C56" s="599"/>
      <c r="D56" s="599"/>
      <c r="E56" s="599"/>
      <c r="F56" s="599"/>
      <c r="G56" s="599"/>
      <c r="H56" s="462"/>
      <c r="I56" s="463">
        <v>1.5</v>
      </c>
      <c r="J56" s="459"/>
    </row>
    <row r="57" spans="2:10" ht="15.75" thickBot="1">
      <c r="B57" s="461"/>
      <c r="C57" s="461"/>
      <c r="D57" s="461"/>
      <c r="E57" s="461"/>
      <c r="F57" s="461"/>
      <c r="G57" s="461"/>
      <c r="H57" s="461"/>
      <c r="I57" s="461"/>
      <c r="J57" s="459"/>
    </row>
    <row r="58" spans="2:10" ht="15.75" thickBot="1">
      <c r="B58" s="600" t="s">
        <v>718</v>
      </c>
      <c r="C58" s="600"/>
      <c r="D58" s="466"/>
      <c r="E58" s="467"/>
      <c r="F58" s="467"/>
      <c r="G58" s="468"/>
      <c r="H58" s="462"/>
      <c r="I58" s="463">
        <v>1</v>
      </c>
      <c r="J58" s="459"/>
    </row>
    <row r="59" spans="2:10" ht="15.75" thickBot="1">
      <c r="B59" s="450"/>
      <c r="C59" s="450"/>
      <c r="D59" s="450"/>
      <c r="E59" s="450"/>
      <c r="F59" s="450"/>
      <c r="G59" s="450"/>
      <c r="H59" s="450"/>
      <c r="I59" s="450"/>
      <c r="J59" s="459"/>
    </row>
    <row r="60" spans="2:10" ht="16.5" thickBot="1">
      <c r="B60" s="481" t="s">
        <v>713</v>
      </c>
      <c r="C60" s="482"/>
      <c r="D60" s="483"/>
      <c r="E60" s="484">
        <f>I54*I56*I58</f>
        <v>343.33875000000006</v>
      </c>
      <c r="F60" s="484"/>
      <c r="G60" s="485" t="s">
        <v>714</v>
      </c>
      <c r="H60" s="450"/>
      <c r="I60" s="450"/>
      <c r="J60" s="459"/>
    </row>
    <row r="61" spans="2:10">
      <c r="B61" s="450"/>
      <c r="C61" s="450"/>
      <c r="D61" s="450"/>
      <c r="E61" s="450"/>
      <c r="F61" s="450"/>
      <c r="G61" s="450"/>
      <c r="H61" s="450"/>
      <c r="I61" s="450"/>
      <c r="J61" s="459"/>
    </row>
    <row r="62" spans="2:10">
      <c r="B62" s="597" t="s">
        <v>719</v>
      </c>
      <c r="C62" s="597"/>
      <c r="D62" s="597"/>
      <c r="E62" s="597"/>
      <c r="F62" s="597"/>
      <c r="G62" s="597"/>
      <c r="H62" s="597"/>
      <c r="I62" s="597"/>
      <c r="J62" s="459"/>
    </row>
    <row r="63" spans="2:10">
      <c r="B63" s="450"/>
      <c r="C63" s="450"/>
      <c r="D63" s="450"/>
      <c r="E63" s="450"/>
      <c r="F63" s="450"/>
      <c r="G63" s="450"/>
      <c r="H63" s="450"/>
      <c r="I63" s="450"/>
      <c r="J63" s="459"/>
    </row>
    <row r="64" spans="2:10">
      <c r="B64" s="602" t="s">
        <v>720</v>
      </c>
      <c r="C64" s="602"/>
      <c r="D64" s="602"/>
      <c r="E64" s="488">
        <f>$I$18</f>
        <v>183.11400000000003</v>
      </c>
      <c r="F64" s="488" t="s">
        <v>721</v>
      </c>
      <c r="G64" s="488">
        <f>$I$36</f>
        <v>423.58050000000003</v>
      </c>
      <c r="H64" s="461" t="s">
        <v>165</v>
      </c>
      <c r="I64" s="489">
        <f>E64+G64</f>
        <v>606.69450000000006</v>
      </c>
      <c r="J64" s="459"/>
    </row>
    <row r="65" spans="2:11">
      <c r="B65" s="490"/>
      <c r="C65" s="154"/>
      <c r="D65" s="154"/>
      <c r="E65" s="491"/>
      <c r="F65" s="488"/>
      <c r="G65" s="488"/>
      <c r="H65" s="461"/>
      <c r="I65" s="489"/>
      <c r="J65" s="459"/>
    </row>
    <row r="66" spans="2:11">
      <c r="B66" s="490"/>
      <c r="C66" s="154"/>
      <c r="D66" s="492"/>
      <c r="E66" s="493" t="s">
        <v>722</v>
      </c>
      <c r="F66" s="494"/>
      <c r="G66" s="495">
        <v>0.7</v>
      </c>
      <c r="H66" s="603">
        <f>I64*G66</f>
        <v>424.68615</v>
      </c>
      <c r="I66" s="604"/>
      <c r="J66" s="472" t="s">
        <v>4</v>
      </c>
    </row>
    <row r="67" spans="2:11">
      <c r="B67" s="490"/>
      <c r="C67" s="154"/>
      <c r="D67" s="492"/>
      <c r="E67" s="493" t="s">
        <v>723</v>
      </c>
      <c r="F67" s="494"/>
      <c r="G67" s="495">
        <v>0.3</v>
      </c>
      <c r="H67" s="603">
        <f>G67*I64</f>
        <v>182.00835000000001</v>
      </c>
      <c r="I67" s="604"/>
      <c r="J67" s="472" t="s">
        <v>4</v>
      </c>
    </row>
    <row r="68" spans="2:11" ht="15.75" thickBot="1">
      <c r="B68" s="450"/>
      <c r="C68" s="450"/>
      <c r="D68" s="450"/>
      <c r="E68" s="450"/>
      <c r="F68" s="450"/>
      <c r="G68" s="450"/>
      <c r="H68" s="450"/>
      <c r="I68" s="450"/>
      <c r="J68" s="459"/>
    </row>
    <row r="69" spans="2:11" ht="35.25" customHeight="1" thickBot="1">
      <c r="B69" s="598" t="s">
        <v>724</v>
      </c>
      <c r="C69" s="598"/>
      <c r="D69" s="598"/>
      <c r="E69" s="598"/>
      <c r="F69" s="598"/>
      <c r="G69" s="598"/>
      <c r="H69" s="462"/>
      <c r="I69" s="463">
        <f>H67</f>
        <v>182.00835000000001</v>
      </c>
      <c r="J69" s="459"/>
    </row>
    <row r="70" spans="2:11" ht="15.75" thickBot="1">
      <c r="B70" s="486"/>
      <c r="C70" s="486"/>
      <c r="D70" s="486"/>
      <c r="E70" s="486"/>
      <c r="F70" s="486"/>
      <c r="G70" s="487"/>
      <c r="H70" s="462"/>
      <c r="I70" s="463"/>
      <c r="J70" s="459"/>
    </row>
    <row r="71" spans="2:11" ht="15.75" thickBot="1">
      <c r="B71" s="599" t="s">
        <v>717</v>
      </c>
      <c r="C71" s="599"/>
      <c r="D71" s="599"/>
      <c r="E71" s="599"/>
      <c r="F71" s="599"/>
      <c r="G71" s="599"/>
      <c r="H71" s="462"/>
      <c r="I71" s="463">
        <v>1.5</v>
      </c>
      <c r="J71" s="459"/>
    </row>
    <row r="72" spans="2:11" ht="15.75" thickBot="1">
      <c r="B72" s="461"/>
      <c r="C72" s="461"/>
      <c r="D72" s="461"/>
      <c r="E72" s="461"/>
      <c r="F72" s="461"/>
      <c r="G72" s="461"/>
      <c r="H72" s="461"/>
      <c r="I72" s="461"/>
      <c r="J72" s="459"/>
    </row>
    <row r="73" spans="2:11" ht="15.75" thickBot="1">
      <c r="B73" s="609" t="s">
        <v>725</v>
      </c>
      <c r="C73" s="609"/>
      <c r="D73" s="466"/>
      <c r="E73" s="467"/>
      <c r="F73" s="467"/>
      <c r="G73" s="468"/>
      <c r="H73" s="462" t="s">
        <v>748</v>
      </c>
      <c r="I73" s="528">
        <v>136.4</v>
      </c>
      <c r="J73" s="459"/>
    </row>
    <row r="74" spans="2:11" ht="15.75" thickBot="1">
      <c r="B74" s="450"/>
      <c r="C74" s="450"/>
      <c r="D74" s="450"/>
      <c r="E74" s="450"/>
      <c r="F74" s="450"/>
      <c r="G74" s="450"/>
      <c r="H74" s="462" t="s">
        <v>749</v>
      </c>
      <c r="I74" s="528">
        <v>3</v>
      </c>
      <c r="J74" s="459"/>
    </row>
    <row r="75" spans="2:11" ht="16.5" thickBot="1">
      <c r="B75" s="481" t="s">
        <v>750</v>
      </c>
      <c r="C75" s="482"/>
      <c r="D75" s="483"/>
      <c r="E75" s="484">
        <f>I69*I71*I73</f>
        <v>37238.908409999996</v>
      </c>
      <c r="F75" s="484"/>
      <c r="G75" s="485" t="s">
        <v>714</v>
      </c>
      <c r="H75" s="450"/>
      <c r="I75" s="450"/>
      <c r="J75" s="459"/>
    </row>
    <row r="76" spans="2:11" ht="16.5" thickBot="1">
      <c r="B76" s="481" t="s">
        <v>751</v>
      </c>
      <c r="C76" s="482"/>
      <c r="D76" s="483"/>
      <c r="E76" s="484">
        <f>I69*I71*I74</f>
        <v>819.03757499999995</v>
      </c>
      <c r="F76" s="484"/>
      <c r="G76" s="485" t="s">
        <v>714</v>
      </c>
      <c r="H76" s="450"/>
      <c r="I76" s="450"/>
      <c r="J76" s="459"/>
      <c r="K76" s="450"/>
    </row>
    <row r="77" spans="2:11">
      <c r="B77" s="450"/>
      <c r="C77" s="450"/>
      <c r="D77" s="450"/>
      <c r="E77" s="450"/>
      <c r="F77" s="450"/>
      <c r="G77" s="450"/>
      <c r="H77" s="450"/>
      <c r="I77" s="450"/>
      <c r="J77" s="459"/>
    </row>
    <row r="78" spans="2:11">
      <c r="B78" s="597" t="s">
        <v>726</v>
      </c>
      <c r="C78" s="597"/>
      <c r="D78" s="597"/>
      <c r="E78" s="597"/>
      <c r="F78" s="597"/>
      <c r="G78" s="597"/>
      <c r="H78" s="597"/>
      <c r="I78" s="597"/>
      <c r="J78" s="459"/>
    </row>
    <row r="79" spans="2:11">
      <c r="B79" s="450"/>
      <c r="C79" s="450"/>
      <c r="D79" s="450"/>
      <c r="E79" s="450"/>
      <c r="F79" s="450"/>
      <c r="G79" s="450"/>
      <c r="H79" s="450"/>
      <c r="I79" s="450"/>
      <c r="J79" s="459"/>
    </row>
    <row r="80" spans="2:11">
      <c r="B80" s="602" t="s">
        <v>720</v>
      </c>
      <c r="C80" s="602"/>
      <c r="D80" s="602"/>
      <c r="E80" s="488">
        <f>$I$18</f>
        <v>183.11400000000003</v>
      </c>
      <c r="F80" s="488" t="s">
        <v>721</v>
      </c>
      <c r="G80" s="488">
        <f>$I$36</f>
        <v>423.58050000000003</v>
      </c>
      <c r="H80" s="461" t="s">
        <v>165</v>
      </c>
      <c r="I80" s="489">
        <f>E80+G80</f>
        <v>606.69450000000006</v>
      </c>
      <c r="J80" s="459"/>
    </row>
    <row r="81" spans="2:10">
      <c r="B81" s="490"/>
      <c r="C81" s="154"/>
      <c r="D81" s="154"/>
      <c r="E81" s="491"/>
      <c r="F81" s="488"/>
      <c r="G81" s="488"/>
      <c r="H81" s="461"/>
      <c r="I81" s="489"/>
      <c r="J81" s="459"/>
    </row>
    <row r="82" spans="2:10">
      <c r="B82" s="490"/>
      <c r="C82" s="154"/>
      <c r="D82" s="492"/>
      <c r="E82" s="493" t="s">
        <v>722</v>
      </c>
      <c r="F82" s="494"/>
      <c r="G82" s="495">
        <v>0.7</v>
      </c>
      <c r="H82" s="603">
        <f>I80*G82</f>
        <v>424.68615</v>
      </c>
      <c r="I82" s="604"/>
      <c r="J82" s="459" t="s">
        <v>4</v>
      </c>
    </row>
    <row r="83" spans="2:10">
      <c r="B83" s="490"/>
      <c r="C83" s="154"/>
      <c r="D83" s="492"/>
      <c r="E83" s="493" t="s">
        <v>723</v>
      </c>
      <c r="F83" s="494"/>
      <c r="G83" s="495">
        <v>0.3</v>
      </c>
      <c r="H83" s="603">
        <f>G83*I80</f>
        <v>182.00835000000001</v>
      </c>
      <c r="I83" s="604"/>
      <c r="J83" s="459" t="s">
        <v>4</v>
      </c>
    </row>
    <row r="84" spans="2:10">
      <c r="B84" s="450"/>
      <c r="C84" s="450"/>
      <c r="D84" s="450"/>
      <c r="E84" s="450"/>
      <c r="F84" s="450"/>
      <c r="G84" s="450"/>
      <c r="H84" s="450"/>
      <c r="I84" s="450"/>
      <c r="J84" s="459"/>
    </row>
    <row r="85" spans="2:10">
      <c r="B85" s="450"/>
      <c r="C85" s="450"/>
      <c r="D85" s="450"/>
      <c r="E85" s="461" t="s">
        <v>727</v>
      </c>
      <c r="F85" s="450"/>
      <c r="G85" s="450"/>
      <c r="H85" s="450" t="s">
        <v>165</v>
      </c>
      <c r="I85" s="488">
        <f>I18</f>
        <v>183.11400000000003</v>
      </c>
      <c r="J85" s="459" t="s">
        <v>4</v>
      </c>
    </row>
    <row r="86" spans="2:10">
      <c r="B86" s="450"/>
      <c r="C86" s="450"/>
      <c r="D86" s="450"/>
      <c r="E86" s="496" t="s">
        <v>728</v>
      </c>
      <c r="F86" s="450"/>
      <c r="G86" s="450"/>
      <c r="H86" s="450" t="s">
        <v>165</v>
      </c>
      <c r="I86" s="488">
        <f>H82-I85</f>
        <v>241.57214999999997</v>
      </c>
      <c r="J86" s="459" t="s">
        <v>4</v>
      </c>
    </row>
    <row r="87" spans="2:10">
      <c r="B87" s="450"/>
      <c r="C87" s="450"/>
      <c r="D87" s="450"/>
      <c r="E87" s="450"/>
      <c r="F87" s="450"/>
      <c r="G87" s="450"/>
      <c r="H87" s="450"/>
      <c r="I87" s="450"/>
      <c r="J87" s="459"/>
    </row>
    <row r="88" spans="2:10" ht="15.75" thickBot="1">
      <c r="B88" s="450"/>
      <c r="C88" s="450"/>
      <c r="D88" s="450"/>
      <c r="E88" s="450"/>
      <c r="F88" s="450"/>
      <c r="G88" s="450"/>
      <c r="H88" s="450"/>
      <c r="I88" s="450"/>
      <c r="J88" s="459"/>
    </row>
    <row r="89" spans="2:10" ht="15.75" thickBot="1">
      <c r="B89" s="610" t="s">
        <v>729</v>
      </c>
      <c r="C89" s="610"/>
      <c r="D89" s="610"/>
      <c r="E89" s="610"/>
      <c r="F89" s="610"/>
      <c r="G89" s="610"/>
      <c r="H89" s="462"/>
      <c r="I89" s="463">
        <f>I86</f>
        <v>241.57214999999997</v>
      </c>
      <c r="J89" s="459" t="s">
        <v>4</v>
      </c>
    </row>
    <row r="90" spans="2:10" ht="15.75" thickBot="1">
      <c r="B90" s="497"/>
      <c r="C90" s="497"/>
      <c r="D90" s="497"/>
      <c r="E90" s="497"/>
      <c r="F90" s="497"/>
      <c r="G90" s="497"/>
      <c r="H90" s="462"/>
      <c r="I90" s="463"/>
      <c r="J90" s="459"/>
    </row>
    <row r="91" spans="2:10" ht="34.5" customHeight="1" thickBot="1">
      <c r="B91" s="610" t="s">
        <v>730</v>
      </c>
      <c r="C91" s="610"/>
      <c r="D91" s="610"/>
      <c r="E91" s="610"/>
      <c r="F91" s="610"/>
      <c r="G91" s="498">
        <v>0.25</v>
      </c>
      <c r="H91" s="462"/>
      <c r="I91" s="463">
        <f>I89*(1+G91)</f>
        <v>301.96518749999996</v>
      </c>
      <c r="J91" s="459"/>
    </row>
    <row r="92" spans="2:10" ht="15.75" thickBot="1">
      <c r="B92" s="486"/>
      <c r="C92" s="486"/>
      <c r="D92" s="486"/>
      <c r="E92" s="486"/>
      <c r="F92" s="486"/>
      <c r="G92" s="487"/>
      <c r="H92" s="462"/>
      <c r="I92" s="463"/>
      <c r="J92" s="459"/>
    </row>
    <row r="93" spans="2:10" ht="15.75" thickBot="1">
      <c r="B93" s="599" t="s">
        <v>717</v>
      </c>
      <c r="C93" s="599"/>
      <c r="D93" s="599"/>
      <c r="E93" s="599"/>
      <c r="F93" s="599"/>
      <c r="G93" s="599"/>
      <c r="H93" s="462"/>
      <c r="I93" s="463">
        <v>1.5</v>
      </c>
      <c r="J93" s="459"/>
    </row>
    <row r="94" spans="2:10" ht="15.75" thickBot="1">
      <c r="B94" s="461"/>
      <c r="C94" s="461"/>
      <c r="D94" s="461"/>
      <c r="E94" s="461"/>
      <c r="F94" s="461"/>
      <c r="G94" s="461"/>
      <c r="H94" s="461"/>
      <c r="I94" s="461"/>
      <c r="J94" s="459"/>
    </row>
    <row r="95" spans="2:10" ht="15.75" thickBot="1">
      <c r="B95" s="600" t="s">
        <v>725</v>
      </c>
      <c r="C95" s="600"/>
      <c r="D95" s="466"/>
      <c r="E95" s="467"/>
      <c r="F95" s="467"/>
      <c r="G95" s="468"/>
      <c r="H95" s="462"/>
      <c r="I95" s="528">
        <v>5</v>
      </c>
      <c r="J95" s="459"/>
    </row>
    <row r="96" spans="2:10" ht="15.75" thickBot="1">
      <c r="B96" s="450"/>
      <c r="C96" s="450"/>
      <c r="D96" s="450"/>
      <c r="E96" s="450"/>
      <c r="F96" s="450"/>
      <c r="G96" s="450"/>
      <c r="H96" s="450"/>
      <c r="I96" s="450"/>
      <c r="J96" s="459"/>
    </row>
    <row r="97" spans="2:10" ht="16.5" thickBot="1">
      <c r="B97" s="481" t="s">
        <v>713</v>
      </c>
      <c r="C97" s="482"/>
      <c r="D97" s="483"/>
      <c r="E97" s="484">
        <f>I91*I93*I95</f>
        <v>2264.7389062499997</v>
      </c>
      <c r="F97" s="484"/>
      <c r="G97" s="485" t="s">
        <v>714</v>
      </c>
      <c r="H97" s="450"/>
      <c r="I97" s="450"/>
      <c r="J97" s="459"/>
    </row>
    <row r="98" spans="2:10">
      <c r="B98" s="450"/>
      <c r="C98" s="450"/>
      <c r="D98" s="450"/>
      <c r="E98" s="450"/>
      <c r="F98" s="450"/>
      <c r="G98" s="450"/>
      <c r="H98" s="450"/>
      <c r="I98" s="450"/>
      <c r="J98" s="459"/>
    </row>
    <row r="100" spans="2:10">
      <c r="B100" s="597" t="s">
        <v>731</v>
      </c>
      <c r="C100" s="597"/>
      <c r="D100" s="597"/>
      <c r="E100" s="597"/>
      <c r="F100" s="597"/>
      <c r="G100" s="597"/>
      <c r="H100" s="597"/>
      <c r="I100" s="597"/>
    </row>
    <row r="102" spans="2:10">
      <c r="B102" s="602" t="s">
        <v>720</v>
      </c>
      <c r="C102" s="602"/>
      <c r="D102" s="602"/>
      <c r="E102" s="488">
        <f>$I$18</f>
        <v>183.11400000000003</v>
      </c>
      <c r="F102" s="488" t="s">
        <v>721</v>
      </c>
      <c r="G102" s="488">
        <f>$I$36</f>
        <v>423.58050000000003</v>
      </c>
      <c r="H102" s="461" t="s">
        <v>165</v>
      </c>
      <c r="I102" s="499">
        <f>E102+G102</f>
        <v>606.69450000000006</v>
      </c>
    </row>
  </sheetData>
  <mergeCells count="63">
    <mergeCell ref="B102:D102"/>
    <mergeCell ref="B71:G71"/>
    <mergeCell ref="B73:C73"/>
    <mergeCell ref="B78:I78"/>
    <mergeCell ref="B80:D80"/>
    <mergeCell ref="H82:I82"/>
    <mergeCell ref="H83:I83"/>
    <mergeCell ref="B89:G89"/>
    <mergeCell ref="B91:F91"/>
    <mergeCell ref="B93:G93"/>
    <mergeCell ref="B95:C95"/>
    <mergeCell ref="B100:I100"/>
    <mergeCell ref="B18:G18"/>
    <mergeCell ref="B20:E20"/>
    <mergeCell ref="B22:C22"/>
    <mergeCell ref="B54:E54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B36:G36"/>
    <mergeCell ref="B38:G38"/>
    <mergeCell ref="C15:D15"/>
    <mergeCell ref="E15:F15"/>
    <mergeCell ref="C9:D9"/>
    <mergeCell ref="E9:F9"/>
    <mergeCell ref="C16:D16"/>
    <mergeCell ref="E16:F16"/>
    <mergeCell ref="B69:G69"/>
    <mergeCell ref="B56:G56"/>
    <mergeCell ref="B58:C58"/>
    <mergeCell ref="B62:I62"/>
    <mergeCell ref="B25:I25"/>
    <mergeCell ref="B41:I41"/>
    <mergeCell ref="B48:C48"/>
    <mergeCell ref="B52:I52"/>
    <mergeCell ref="C29:D29"/>
    <mergeCell ref="E29:F29"/>
    <mergeCell ref="B64:D64"/>
    <mergeCell ref="H66:I66"/>
    <mergeCell ref="H67:I67"/>
    <mergeCell ref="B5:I5"/>
    <mergeCell ref="C27:D27"/>
    <mergeCell ref="E27:F27"/>
    <mergeCell ref="C28:D28"/>
    <mergeCell ref="E28:F28"/>
    <mergeCell ref="B7:I7"/>
    <mergeCell ref="C12:D12"/>
    <mergeCell ref="E12:F12"/>
    <mergeCell ref="C13:D13"/>
    <mergeCell ref="E13:F13"/>
    <mergeCell ref="C10:D10"/>
    <mergeCell ref="E10:F10"/>
    <mergeCell ref="C11:D11"/>
    <mergeCell ref="E11:F11"/>
    <mergeCell ref="C14:D14"/>
    <mergeCell ref="E14:F14"/>
  </mergeCells>
  <pageMargins left="0.511811024" right="0.511811024" top="0.78740157499999996" bottom="0.78740157499999996" header="0.31496062000000002" footer="0.31496062000000002"/>
  <pageSetup paperSize="9" scale="79" orientation="portrait" r:id="rId1"/>
  <rowBreaks count="1" manualBreakCount="1">
    <brk id="6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51"/>
  <sheetViews>
    <sheetView view="pageBreakPreview" topLeftCell="C242" zoomScale="120" zoomScaleNormal="90" zoomScaleSheetLayoutView="120" workbookViewId="0">
      <selection activeCell="O245" sqref="O245"/>
    </sheetView>
  </sheetViews>
  <sheetFormatPr defaultRowHeight="15"/>
  <cols>
    <col min="1" max="1" width="7.140625" style="158" customWidth="1"/>
    <col min="2" max="2" width="8.5703125" style="158" customWidth="1"/>
    <col min="3" max="3" width="10.140625" customWidth="1"/>
    <col min="4" max="4" width="24" style="158" customWidth="1"/>
    <col min="5" max="5" width="9.5703125" customWidth="1"/>
    <col min="6" max="6" width="6.85546875" customWidth="1"/>
    <col min="7" max="7" width="9.5703125" style="158" customWidth="1"/>
    <col min="8" max="8" width="20.7109375" style="158" customWidth="1"/>
    <col min="9" max="9" width="9.7109375" style="158" customWidth="1"/>
    <col min="10" max="10" width="9.85546875" style="158" customWidth="1"/>
    <col min="11" max="11" width="12.7109375" style="158" customWidth="1"/>
    <col min="12" max="12" width="11.7109375" style="158" customWidth="1"/>
  </cols>
  <sheetData>
    <row r="1" spans="1:19">
      <c r="A1" s="404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9">
      <c r="A2" s="404"/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</row>
    <row r="3" spans="1:19" s="158" customFormat="1">
      <c r="A3" s="404"/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</row>
    <row r="4" spans="1:19">
      <c r="A4" s="617" t="s">
        <v>373</v>
      </c>
      <c r="B4" s="617"/>
      <c r="C4" s="617"/>
      <c r="D4" s="617"/>
      <c r="E4" s="617"/>
      <c r="F4" s="617"/>
      <c r="G4" s="617"/>
      <c r="H4" s="617"/>
      <c r="I4" s="617"/>
      <c r="J4" s="617"/>
      <c r="K4" s="617"/>
      <c r="L4" s="617"/>
    </row>
    <row r="5" spans="1:19" s="158" customFormat="1">
      <c r="A5" s="404"/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</row>
    <row r="6" spans="1:19" s="158" customFormat="1">
      <c r="A6" s="405"/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</row>
    <row r="7" spans="1:19" s="158" customFormat="1">
      <c r="A7" s="406" t="str">
        <f>ORÇAMENTO!B29</f>
        <v>5.1</v>
      </c>
      <c r="B7" s="407" t="str">
        <f>INDEX(ORÇAMENTO!E:E,MATCH(A7,ORÇAMENTO!B:B,0))</f>
        <v>DEMOLIÇÃO DE PLACAS DE CONCRETO SIMPLES COM REMOÇÃO PARA BOTA-FORA</v>
      </c>
      <c r="C7" s="408"/>
      <c r="D7" s="408"/>
      <c r="E7" s="408"/>
      <c r="F7" s="408"/>
      <c r="G7" s="408"/>
      <c r="H7" s="408"/>
      <c r="I7" s="408"/>
      <c r="J7" s="408"/>
      <c r="K7" s="408"/>
      <c r="L7" s="408"/>
    </row>
    <row r="8" spans="1:19" s="8" customFormat="1" ht="30" customHeight="1">
      <c r="A8" s="409" t="str">
        <f>ORÇAMENTO!B33</f>
        <v>5.1.4</v>
      </c>
      <c r="B8" s="410"/>
      <c r="C8" s="411">
        <v>5914314</v>
      </c>
      <c r="D8" s="412" t="e">
        <f>INDEX(#REF!,MATCH(C8,#REF!,0))</f>
        <v>#REF!</v>
      </c>
      <c r="E8" s="413"/>
      <c r="F8" s="413"/>
      <c r="G8" s="413"/>
      <c r="H8" s="413"/>
      <c r="I8" s="413"/>
      <c r="J8" s="413"/>
      <c r="K8" s="413"/>
      <c r="L8" s="414">
        <f>ROUND(SUBTOTAL(109,L11),2)</f>
        <v>4134.3100000000004</v>
      </c>
      <c r="M8" s="59" t="s">
        <v>11</v>
      </c>
      <c r="N8" s="59" t="s">
        <v>11</v>
      </c>
      <c r="O8" s="59" t="s">
        <v>11</v>
      </c>
      <c r="P8" s="7"/>
      <c r="Q8" s="7"/>
      <c r="R8" s="7"/>
      <c r="S8" s="7"/>
    </row>
    <row r="9" spans="1:19" s="158" customFormat="1">
      <c r="A9" s="614" t="s">
        <v>357</v>
      </c>
      <c r="B9" s="614" t="s">
        <v>358</v>
      </c>
      <c r="C9" s="613" t="s">
        <v>361</v>
      </c>
      <c r="D9" s="614" t="s">
        <v>355</v>
      </c>
      <c r="E9" s="614" t="s">
        <v>2</v>
      </c>
      <c r="F9" s="614" t="s">
        <v>3</v>
      </c>
      <c r="G9" s="613" t="s">
        <v>362</v>
      </c>
      <c r="H9" s="614" t="s">
        <v>356</v>
      </c>
      <c r="I9" s="613" t="s">
        <v>374</v>
      </c>
      <c r="J9" s="613" t="s">
        <v>363</v>
      </c>
      <c r="K9" s="613" t="s">
        <v>364</v>
      </c>
      <c r="L9" s="613" t="s">
        <v>365</v>
      </c>
    </row>
    <row r="10" spans="1:19" s="158" customFormat="1">
      <c r="A10" s="614"/>
      <c r="B10" s="614"/>
      <c r="C10" s="613"/>
      <c r="D10" s="614"/>
      <c r="E10" s="614"/>
      <c r="F10" s="614"/>
      <c r="G10" s="613"/>
      <c r="H10" s="614"/>
      <c r="I10" s="614"/>
      <c r="J10" s="614"/>
      <c r="K10" s="614"/>
      <c r="L10" s="614"/>
    </row>
    <row r="11" spans="1:19" s="158" customFormat="1" ht="30" customHeight="1">
      <c r="A11" s="415" t="s">
        <v>359</v>
      </c>
      <c r="B11" s="416" t="s">
        <v>360</v>
      </c>
      <c r="C11" s="417">
        <v>1600436</v>
      </c>
      <c r="D11" s="418" t="s">
        <v>754</v>
      </c>
      <c r="E11" s="419">
        <f>MEMÓRIA!L109</f>
        <v>574.21</v>
      </c>
      <c r="F11" s="424" t="s">
        <v>4</v>
      </c>
      <c r="G11" s="417" t="s">
        <v>140</v>
      </c>
      <c r="H11" s="666" t="s">
        <v>141</v>
      </c>
      <c r="I11" s="425">
        <v>2.4</v>
      </c>
      <c r="J11" s="420">
        <f>E11*I11</f>
        <v>1378.104</v>
      </c>
      <c r="K11" s="421">
        <f>DMT!$AO$16</f>
        <v>3</v>
      </c>
      <c r="L11" s="420">
        <f>J11*K11</f>
        <v>4134.3119999999999</v>
      </c>
      <c r="M11" s="93"/>
      <c r="N11" s="93"/>
      <c r="O11" s="93"/>
      <c r="P11" s="93"/>
    </row>
    <row r="12" spans="1:19">
      <c r="A12" s="405"/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</row>
    <row r="13" spans="1:19" s="158" customFormat="1">
      <c r="A13" s="406" t="str">
        <f>ORÇAMENTO!B40</f>
        <v>5.3</v>
      </c>
      <c r="B13" s="407" t="str">
        <f>INDEX(ORÇAMENTO!E:E,MATCH(A13,ORÇAMENTO!B:B,0))</f>
        <v>DRENAGEM SUBSUPERFICIAL</v>
      </c>
      <c r="C13" s="408"/>
      <c r="D13" s="408"/>
      <c r="E13" s="408"/>
      <c r="F13" s="408"/>
      <c r="G13" s="408"/>
      <c r="H13" s="408"/>
      <c r="I13" s="408"/>
      <c r="J13" s="408"/>
      <c r="K13" s="408"/>
      <c r="L13" s="408"/>
    </row>
    <row r="14" spans="1:19" s="8" customFormat="1" ht="30" customHeight="1">
      <c r="A14" s="409" t="str">
        <f>ORÇAMENTO!A60</f>
        <v>5.3.9</v>
      </c>
      <c r="B14" s="410"/>
      <c r="C14" s="411">
        <v>5914359</v>
      </c>
      <c r="D14" s="412" t="s">
        <v>116</v>
      </c>
      <c r="E14" s="413"/>
      <c r="F14" s="413"/>
      <c r="G14" s="413"/>
      <c r="H14" s="413"/>
      <c r="I14" s="413"/>
      <c r="J14" s="413"/>
      <c r="K14" s="413"/>
      <c r="L14" s="414">
        <f>ROUND(SUBTOTAL(109,L17:L20),2)</f>
        <v>3185.37</v>
      </c>
      <c r="M14" s="59" t="s">
        <v>11</v>
      </c>
      <c r="N14" s="59" t="s">
        <v>11</v>
      </c>
      <c r="O14" s="59" t="s">
        <v>11</v>
      </c>
      <c r="P14" s="7"/>
      <c r="Q14" s="7"/>
      <c r="R14" s="7"/>
      <c r="S14" s="7"/>
    </row>
    <row r="15" spans="1:19" s="158" customFormat="1" ht="15" customHeight="1">
      <c r="A15" s="614" t="s">
        <v>357</v>
      </c>
      <c r="B15" s="614" t="s">
        <v>358</v>
      </c>
      <c r="C15" s="613" t="s">
        <v>361</v>
      </c>
      <c r="D15" s="614" t="s">
        <v>355</v>
      </c>
      <c r="E15" s="614" t="s">
        <v>2</v>
      </c>
      <c r="F15" s="614" t="s">
        <v>3</v>
      </c>
      <c r="G15" s="613" t="s">
        <v>362</v>
      </c>
      <c r="H15" s="614" t="s">
        <v>356</v>
      </c>
      <c r="I15" s="613" t="s">
        <v>374</v>
      </c>
      <c r="J15" s="613" t="s">
        <v>363</v>
      </c>
      <c r="K15" s="613" t="s">
        <v>364</v>
      </c>
      <c r="L15" s="613" t="s">
        <v>365</v>
      </c>
    </row>
    <row r="16" spans="1:19" s="158" customFormat="1">
      <c r="A16" s="614"/>
      <c r="B16" s="614"/>
      <c r="C16" s="613"/>
      <c r="D16" s="614"/>
      <c r="E16" s="614"/>
      <c r="F16" s="614"/>
      <c r="G16" s="613"/>
      <c r="H16" s="614"/>
      <c r="I16" s="614"/>
      <c r="J16" s="614"/>
      <c r="K16" s="614"/>
      <c r="L16" s="614"/>
    </row>
    <row r="17" spans="1:19" s="158" customFormat="1" ht="33.75">
      <c r="A17" s="416" t="s">
        <v>375</v>
      </c>
      <c r="B17" s="416" t="s">
        <v>359</v>
      </c>
      <c r="C17" s="416" t="s">
        <v>293</v>
      </c>
      <c r="D17" s="418" t="s">
        <v>574</v>
      </c>
      <c r="E17" s="422">
        <f>MEMÓRIA!$L$173</f>
        <v>374</v>
      </c>
      <c r="F17" s="422" t="str">
        <f>MEMÓRIA!$M$173</f>
        <v>m</v>
      </c>
      <c r="G17" s="417" t="s">
        <v>17</v>
      </c>
      <c r="H17" s="423" t="s">
        <v>18</v>
      </c>
      <c r="I17" s="420">
        <v>0.26896500000000001</v>
      </c>
      <c r="J17" s="420">
        <f>E17*I17</f>
        <v>100.59291</v>
      </c>
      <c r="K17" s="421">
        <f>DMT!$AO$16</f>
        <v>3</v>
      </c>
      <c r="L17" s="420">
        <f>J17*K17</f>
        <v>301.77873</v>
      </c>
      <c r="M17" s="93"/>
      <c r="N17" s="93"/>
      <c r="O17" s="93"/>
      <c r="P17" s="93"/>
    </row>
    <row r="18" spans="1:19" s="158" customFormat="1" ht="33.75">
      <c r="A18" s="416" t="s">
        <v>375</v>
      </c>
      <c r="B18" s="416" t="s">
        <v>359</v>
      </c>
      <c r="C18" s="415" t="s">
        <v>300</v>
      </c>
      <c r="D18" s="418" t="s">
        <v>575</v>
      </c>
      <c r="E18" s="422">
        <f>MEMÓRIA!$L$179</f>
        <v>40</v>
      </c>
      <c r="F18" s="422" t="str">
        <f>MEMÓRIA!$M$179</f>
        <v>m</v>
      </c>
      <c r="G18" s="424" t="s">
        <v>17</v>
      </c>
      <c r="H18" s="423" t="s">
        <v>18</v>
      </c>
      <c r="I18" s="425">
        <v>0.18651000000000001</v>
      </c>
      <c r="J18" s="425">
        <f>E18*I18</f>
        <v>7.4603999999999999</v>
      </c>
      <c r="K18" s="421">
        <f>DMT!$AO$16</f>
        <v>3</v>
      </c>
      <c r="L18" s="425">
        <f>J18*K18</f>
        <v>22.3812</v>
      </c>
      <c r="M18" s="93"/>
      <c r="N18" s="93"/>
      <c r="O18" s="93"/>
      <c r="P18" s="93"/>
    </row>
    <row r="19" spans="1:19" s="158" customFormat="1" ht="33.75">
      <c r="A19" s="416" t="s">
        <v>375</v>
      </c>
      <c r="B19" s="416" t="s">
        <v>359</v>
      </c>
      <c r="C19" s="415" t="s">
        <v>605</v>
      </c>
      <c r="D19" s="418" t="s">
        <v>603</v>
      </c>
      <c r="E19" s="422">
        <f>MEMÓRIA!$L$185</f>
        <v>72</v>
      </c>
      <c r="F19" s="422" t="str">
        <f>MEMÓRIA!$M$185</f>
        <v>m</v>
      </c>
      <c r="G19" s="424" t="s">
        <v>17</v>
      </c>
      <c r="H19" s="423" t="s">
        <v>18</v>
      </c>
      <c r="I19" s="425">
        <v>5.0000000000000001E-4</v>
      </c>
      <c r="J19" s="425">
        <f>E19*I19</f>
        <v>3.6000000000000004E-2</v>
      </c>
      <c r="K19" s="421">
        <f>DMT!$AO$16</f>
        <v>3</v>
      </c>
      <c r="L19" s="425">
        <f>J19*K19</f>
        <v>0.10800000000000001</v>
      </c>
      <c r="M19" s="93"/>
      <c r="N19" s="93"/>
      <c r="O19" s="93"/>
      <c r="P19" s="93"/>
    </row>
    <row r="20" spans="1:19" s="158" customFormat="1" ht="22.5">
      <c r="A20" s="416" t="s">
        <v>375</v>
      </c>
      <c r="B20" s="415" t="s">
        <v>359</v>
      </c>
      <c r="C20" s="415">
        <v>2003767</v>
      </c>
      <c r="D20" s="418" t="s">
        <v>185</v>
      </c>
      <c r="E20" s="422">
        <f>MEMÓRIA!$L$192</f>
        <v>635.79999999999995</v>
      </c>
      <c r="F20" s="422" t="str">
        <f>MEMÓRIA!$M$192</f>
        <v>m³</v>
      </c>
      <c r="G20" s="424" t="s">
        <v>203</v>
      </c>
      <c r="H20" s="423" t="s">
        <v>204</v>
      </c>
      <c r="I20" s="425">
        <v>1.5</v>
      </c>
      <c r="J20" s="425">
        <f>E20*I20</f>
        <v>953.69999999999993</v>
      </c>
      <c r="K20" s="421">
        <f>DMT!$AO$16</f>
        <v>3</v>
      </c>
      <c r="L20" s="425">
        <f>J20*K20</f>
        <v>2861.1</v>
      </c>
      <c r="M20" s="93"/>
      <c r="N20" s="93"/>
      <c r="O20" s="93"/>
      <c r="P20" s="93"/>
    </row>
    <row r="21" spans="1:19" s="8" customFormat="1" ht="30" customHeight="1">
      <c r="A21" s="426" t="str">
        <f>ORÇAMENTO!B61</f>
        <v>5.3.10</v>
      </c>
      <c r="B21" s="427"/>
      <c r="C21" s="428">
        <v>5914449</v>
      </c>
      <c r="D21" s="429" t="s">
        <v>118</v>
      </c>
      <c r="E21" s="430"/>
      <c r="F21" s="430"/>
      <c r="G21" s="430"/>
      <c r="H21" s="430"/>
      <c r="I21" s="430"/>
      <c r="J21" s="430"/>
      <c r="K21" s="430"/>
      <c r="L21" s="431">
        <f>ROUND(SUBTOTAL(109,L24:L30),2)</f>
        <v>42.22</v>
      </c>
      <c r="M21" s="59" t="s">
        <v>11</v>
      </c>
      <c r="N21" s="59" t="s">
        <v>11</v>
      </c>
      <c r="O21" s="59" t="s">
        <v>11</v>
      </c>
      <c r="P21" s="7"/>
      <c r="Q21" s="7"/>
      <c r="R21" s="7"/>
      <c r="S21" s="7"/>
    </row>
    <row r="22" spans="1:19" s="158" customFormat="1" ht="15" customHeight="1">
      <c r="A22" s="616" t="s">
        <v>357</v>
      </c>
      <c r="B22" s="616" t="s">
        <v>358</v>
      </c>
      <c r="C22" s="615" t="s">
        <v>361</v>
      </c>
      <c r="D22" s="616" t="s">
        <v>355</v>
      </c>
      <c r="E22" s="616" t="s">
        <v>2</v>
      </c>
      <c r="F22" s="616" t="s">
        <v>3</v>
      </c>
      <c r="G22" s="615" t="s">
        <v>362</v>
      </c>
      <c r="H22" s="616" t="s">
        <v>356</v>
      </c>
      <c r="I22" s="613" t="s">
        <v>374</v>
      </c>
      <c r="J22" s="615" t="s">
        <v>363</v>
      </c>
      <c r="K22" s="615" t="s">
        <v>364</v>
      </c>
      <c r="L22" s="615" t="s">
        <v>365</v>
      </c>
    </row>
    <row r="23" spans="1:19" s="158" customFormat="1">
      <c r="A23" s="616"/>
      <c r="B23" s="616"/>
      <c r="C23" s="615"/>
      <c r="D23" s="616"/>
      <c r="E23" s="616"/>
      <c r="F23" s="616"/>
      <c r="G23" s="615"/>
      <c r="H23" s="616"/>
      <c r="I23" s="614"/>
      <c r="J23" s="616"/>
      <c r="K23" s="616"/>
      <c r="L23" s="616"/>
    </row>
    <row r="24" spans="1:19" s="158" customFormat="1" ht="45">
      <c r="A24" s="416" t="s">
        <v>375</v>
      </c>
      <c r="B24" s="415" t="s">
        <v>359</v>
      </c>
      <c r="C24" s="415" t="s">
        <v>293</v>
      </c>
      <c r="D24" s="418" t="s">
        <v>574</v>
      </c>
      <c r="E24" s="422">
        <f>MEMÓRIA!$L$173</f>
        <v>374</v>
      </c>
      <c r="F24" s="422" t="str">
        <f>MEMÓRIA!$M$173</f>
        <v>m</v>
      </c>
      <c r="G24" s="424" t="s">
        <v>223</v>
      </c>
      <c r="H24" s="666" t="s">
        <v>253</v>
      </c>
      <c r="I24" s="425">
        <v>5.0000000000000001E-4</v>
      </c>
      <c r="J24" s="425">
        <f t="shared" ref="J24:J30" si="0">E24*I24</f>
        <v>0.187</v>
      </c>
      <c r="K24" s="421">
        <f>DMT!$AO$16</f>
        <v>3</v>
      </c>
      <c r="L24" s="425">
        <f t="shared" ref="L24:L30" si="1">J24*K24</f>
        <v>0.56099999999999994</v>
      </c>
      <c r="M24" s="93"/>
      <c r="N24" s="93"/>
      <c r="O24" s="93"/>
      <c r="P24" s="93"/>
    </row>
    <row r="25" spans="1:19" s="158" customFormat="1" ht="33.75">
      <c r="A25" s="416" t="s">
        <v>375</v>
      </c>
      <c r="B25" s="415" t="s">
        <v>359</v>
      </c>
      <c r="C25" s="415" t="s">
        <v>293</v>
      </c>
      <c r="D25" s="418" t="s">
        <v>574</v>
      </c>
      <c r="E25" s="422">
        <f>MEMÓRIA!$L$173</f>
        <v>374</v>
      </c>
      <c r="F25" s="422" t="str">
        <f>MEMÓRIA!$M$173</f>
        <v>m</v>
      </c>
      <c r="G25" s="424" t="s">
        <v>349</v>
      </c>
      <c r="H25" s="666" t="s">
        <v>347</v>
      </c>
      <c r="I25" s="425">
        <v>2.7731000000000002E-2</v>
      </c>
      <c r="J25" s="425">
        <f t="shared" si="0"/>
        <v>10.371394</v>
      </c>
      <c r="K25" s="421">
        <f>DMT!$AO$16</f>
        <v>3</v>
      </c>
      <c r="L25" s="425">
        <f t="shared" si="1"/>
        <v>31.114182</v>
      </c>
      <c r="M25" s="93"/>
      <c r="N25" s="93"/>
      <c r="O25" s="93"/>
      <c r="P25" s="93"/>
    </row>
    <row r="26" spans="1:19" s="158" customFormat="1" ht="45">
      <c r="A26" s="416" t="s">
        <v>375</v>
      </c>
      <c r="B26" s="415" t="s">
        <v>359</v>
      </c>
      <c r="C26" s="415" t="s">
        <v>300</v>
      </c>
      <c r="D26" s="418" t="s">
        <v>575</v>
      </c>
      <c r="E26" s="422">
        <f>MEMÓRIA!$L$179</f>
        <v>40</v>
      </c>
      <c r="F26" s="422" t="str">
        <f>MEMÓRIA!$M$179</f>
        <v>m</v>
      </c>
      <c r="G26" s="424" t="s">
        <v>223</v>
      </c>
      <c r="H26" s="666" t="s">
        <v>253</v>
      </c>
      <c r="I26" s="425">
        <v>5.0000000000000001E-4</v>
      </c>
      <c r="J26" s="425">
        <f t="shared" si="0"/>
        <v>0.02</v>
      </c>
      <c r="K26" s="421">
        <f>DMT!$AO$16</f>
        <v>3</v>
      </c>
      <c r="L26" s="425">
        <f t="shared" si="1"/>
        <v>0.06</v>
      </c>
      <c r="M26" s="93"/>
      <c r="N26" s="93"/>
      <c r="O26" s="93"/>
      <c r="P26" s="93"/>
    </row>
    <row r="27" spans="1:19" s="158" customFormat="1" ht="33.75">
      <c r="A27" s="416" t="s">
        <v>375</v>
      </c>
      <c r="B27" s="415" t="s">
        <v>359</v>
      </c>
      <c r="C27" s="415" t="s">
        <v>300</v>
      </c>
      <c r="D27" s="418" t="s">
        <v>575</v>
      </c>
      <c r="E27" s="422">
        <f>MEMÓRIA!$L$179</f>
        <v>40</v>
      </c>
      <c r="F27" s="422" t="str">
        <f>MEMÓRIA!$M$179</f>
        <v>m</v>
      </c>
      <c r="G27" s="424" t="s">
        <v>350</v>
      </c>
      <c r="H27" s="666" t="s">
        <v>348</v>
      </c>
      <c r="I27" s="425">
        <v>3.0251999999999998E-2</v>
      </c>
      <c r="J27" s="425">
        <f t="shared" si="0"/>
        <v>1.2100799999999998</v>
      </c>
      <c r="K27" s="421">
        <f>DMT!$AO$16</f>
        <v>3</v>
      </c>
      <c r="L27" s="425">
        <f t="shared" si="1"/>
        <v>3.6302399999999997</v>
      </c>
      <c r="M27" s="93"/>
      <c r="N27" s="93"/>
      <c r="O27" s="93"/>
      <c r="P27" s="93"/>
    </row>
    <row r="28" spans="1:19" s="158" customFormat="1" ht="45">
      <c r="A28" s="416" t="s">
        <v>375</v>
      </c>
      <c r="B28" s="415" t="s">
        <v>359</v>
      </c>
      <c r="C28" s="415" t="s">
        <v>605</v>
      </c>
      <c r="D28" s="418" t="s">
        <v>603</v>
      </c>
      <c r="E28" s="422">
        <f>MEMÓRIA!$L$185</f>
        <v>72</v>
      </c>
      <c r="F28" s="422" t="str">
        <f>MEMÓRIA!$M$185</f>
        <v>m</v>
      </c>
      <c r="G28" s="424" t="s">
        <v>223</v>
      </c>
      <c r="H28" s="666" t="s">
        <v>253</v>
      </c>
      <c r="I28" s="425">
        <v>7.5000000000000002E-4</v>
      </c>
      <c r="J28" s="425">
        <f t="shared" si="0"/>
        <v>5.3999999999999999E-2</v>
      </c>
      <c r="K28" s="421">
        <f>DMT!$AO$16</f>
        <v>3</v>
      </c>
      <c r="L28" s="425">
        <f t="shared" si="1"/>
        <v>0.16200000000000001</v>
      </c>
      <c r="M28" s="93"/>
      <c r="N28" s="93"/>
      <c r="O28" s="93"/>
      <c r="P28" s="93"/>
    </row>
    <row r="29" spans="1:19" s="158" customFormat="1" ht="45">
      <c r="A29" s="416" t="s">
        <v>375</v>
      </c>
      <c r="B29" s="415" t="s">
        <v>359</v>
      </c>
      <c r="C29" s="415" t="s">
        <v>605</v>
      </c>
      <c r="D29" s="418" t="s">
        <v>603</v>
      </c>
      <c r="E29" s="422">
        <f>MEMÓRIA!$L$185</f>
        <v>72</v>
      </c>
      <c r="F29" s="422" t="str">
        <f>MEMÓRIA!$M$185</f>
        <v>m</v>
      </c>
      <c r="G29" s="424" t="s">
        <v>220</v>
      </c>
      <c r="H29" s="666" t="s">
        <v>250</v>
      </c>
      <c r="I29" s="425">
        <v>7.5000000000000002E-4</v>
      </c>
      <c r="J29" s="425">
        <f t="shared" si="0"/>
        <v>5.3999999999999999E-2</v>
      </c>
      <c r="K29" s="421">
        <f>DMT!$AO$16</f>
        <v>3</v>
      </c>
      <c r="L29" s="425">
        <f t="shared" si="1"/>
        <v>0.16200000000000001</v>
      </c>
      <c r="M29" s="93"/>
      <c r="N29" s="93"/>
      <c r="O29" s="93"/>
      <c r="P29" s="93"/>
    </row>
    <row r="30" spans="1:19" s="158" customFormat="1" ht="33.75">
      <c r="A30" s="416" t="s">
        <v>375</v>
      </c>
      <c r="B30" s="415" t="s">
        <v>359</v>
      </c>
      <c r="C30" s="415" t="s">
        <v>605</v>
      </c>
      <c r="D30" s="418" t="s">
        <v>603</v>
      </c>
      <c r="E30" s="422">
        <f>MEMÓRIA!$L$185</f>
        <v>72</v>
      </c>
      <c r="F30" s="422" t="str">
        <f>MEMÓRIA!$M$185</f>
        <v>m</v>
      </c>
      <c r="G30" s="424" t="s">
        <v>349</v>
      </c>
      <c r="H30" s="666" t="s">
        <v>347</v>
      </c>
      <c r="I30" s="425">
        <v>3.0251999999999998E-2</v>
      </c>
      <c r="J30" s="425">
        <f t="shared" si="0"/>
        <v>2.1781439999999996</v>
      </c>
      <c r="K30" s="421">
        <f>DMT!$AO$16</f>
        <v>3</v>
      </c>
      <c r="L30" s="425">
        <f t="shared" si="1"/>
        <v>6.5344319999999989</v>
      </c>
      <c r="M30" s="93"/>
      <c r="N30" s="93"/>
      <c r="O30" s="93"/>
      <c r="P30" s="93"/>
    </row>
    <row r="31" spans="1:19" s="8" customFormat="1" ht="30" customHeight="1">
      <c r="A31" s="426" t="str">
        <f>ORÇAMENTO!B62</f>
        <v>5.3.11</v>
      </c>
      <c r="B31" s="427"/>
      <c r="C31" s="428">
        <v>5914389</v>
      </c>
      <c r="D31" s="429" t="s">
        <v>16</v>
      </c>
      <c r="E31" s="430"/>
      <c r="F31" s="430"/>
      <c r="G31" s="430"/>
      <c r="H31" s="430"/>
      <c r="I31" s="430"/>
      <c r="J31" s="430"/>
      <c r="K31" s="430"/>
      <c r="L31" s="431">
        <f>ROUND(SUBTOTAL(109,L34:L37),2)</f>
        <v>54873.66</v>
      </c>
      <c r="M31" s="59" t="s">
        <v>11</v>
      </c>
      <c r="N31" s="59" t="s">
        <v>11</v>
      </c>
      <c r="O31" s="59" t="s">
        <v>11</v>
      </c>
      <c r="P31" s="7"/>
      <c r="Q31" s="7"/>
      <c r="R31" s="7"/>
      <c r="S31" s="7"/>
    </row>
    <row r="32" spans="1:19" s="158" customFormat="1" ht="15" customHeight="1">
      <c r="A32" s="612" t="s">
        <v>357</v>
      </c>
      <c r="B32" s="612" t="s">
        <v>358</v>
      </c>
      <c r="C32" s="611" t="s">
        <v>361</v>
      </c>
      <c r="D32" s="612" t="s">
        <v>355</v>
      </c>
      <c r="E32" s="612" t="s">
        <v>2</v>
      </c>
      <c r="F32" s="612" t="s">
        <v>3</v>
      </c>
      <c r="G32" s="611" t="s">
        <v>362</v>
      </c>
      <c r="H32" s="612" t="s">
        <v>356</v>
      </c>
      <c r="I32" s="613" t="s">
        <v>374</v>
      </c>
      <c r="J32" s="611" t="s">
        <v>363</v>
      </c>
      <c r="K32" s="611" t="s">
        <v>364</v>
      </c>
      <c r="L32" s="611" t="s">
        <v>365</v>
      </c>
    </row>
    <row r="33" spans="1:19" s="158" customFormat="1" ht="15" customHeight="1">
      <c r="A33" s="612"/>
      <c r="B33" s="612"/>
      <c r="C33" s="611"/>
      <c r="D33" s="612"/>
      <c r="E33" s="612"/>
      <c r="F33" s="612"/>
      <c r="G33" s="611"/>
      <c r="H33" s="612"/>
      <c r="I33" s="614"/>
      <c r="J33" s="612"/>
      <c r="K33" s="612"/>
      <c r="L33" s="612"/>
    </row>
    <row r="34" spans="1:19" s="158" customFormat="1" ht="33.75">
      <c r="A34" s="432" t="s">
        <v>369</v>
      </c>
      <c r="B34" s="432" t="s">
        <v>359</v>
      </c>
      <c r="C34" s="432" t="s">
        <v>293</v>
      </c>
      <c r="D34" s="423" t="s">
        <v>353</v>
      </c>
      <c r="E34" s="433">
        <f>MEMÓRIA!$L$173</f>
        <v>374</v>
      </c>
      <c r="F34" s="433" t="str">
        <f>MEMÓRIA!$M$173</f>
        <v>m</v>
      </c>
      <c r="G34" s="434" t="s">
        <v>17</v>
      </c>
      <c r="H34" s="666" t="s">
        <v>18</v>
      </c>
      <c r="I34" s="425">
        <v>0.26896500000000001</v>
      </c>
      <c r="J34" s="435">
        <f>E34*I34</f>
        <v>100.59291</v>
      </c>
      <c r="K34" s="436">
        <f>DMT!$AO$17</f>
        <v>48.4</v>
      </c>
      <c r="L34" s="435">
        <f>J34*K34</f>
        <v>4868.6968440000001</v>
      </c>
      <c r="M34" s="93"/>
      <c r="N34" s="93"/>
      <c r="O34" s="93"/>
      <c r="P34" s="93"/>
    </row>
    <row r="35" spans="1:19" s="158" customFormat="1" ht="33.75">
      <c r="A35" s="432" t="s">
        <v>369</v>
      </c>
      <c r="B35" s="432" t="s">
        <v>359</v>
      </c>
      <c r="C35" s="432" t="s">
        <v>300</v>
      </c>
      <c r="D35" s="423" t="s">
        <v>354</v>
      </c>
      <c r="E35" s="433">
        <f>MEMÓRIA!$L$179</f>
        <v>40</v>
      </c>
      <c r="F35" s="433" t="str">
        <f>MEMÓRIA!$M$179</f>
        <v>m</v>
      </c>
      <c r="G35" s="434" t="s">
        <v>17</v>
      </c>
      <c r="H35" s="666" t="s">
        <v>18</v>
      </c>
      <c r="I35" s="425">
        <v>0.18651000000000001</v>
      </c>
      <c r="J35" s="435">
        <f>E35*I35</f>
        <v>7.4603999999999999</v>
      </c>
      <c r="K35" s="436">
        <f>DMT!$AO$17</f>
        <v>48.4</v>
      </c>
      <c r="L35" s="435">
        <f>J35*K35</f>
        <v>361.08335999999997</v>
      </c>
      <c r="M35" s="93"/>
      <c r="N35" s="93"/>
      <c r="O35" s="93"/>
      <c r="P35" s="93"/>
    </row>
    <row r="36" spans="1:19" s="158" customFormat="1" ht="33.75">
      <c r="A36" s="432" t="s">
        <v>369</v>
      </c>
      <c r="B36" s="416" t="s">
        <v>359</v>
      </c>
      <c r="C36" s="415" t="s">
        <v>605</v>
      </c>
      <c r="D36" s="418" t="s">
        <v>603</v>
      </c>
      <c r="E36" s="422">
        <f>MEMÓRIA!$L$185</f>
        <v>72</v>
      </c>
      <c r="F36" s="422" t="str">
        <f>MEMÓRIA!$M$185</f>
        <v>m</v>
      </c>
      <c r="G36" s="424" t="s">
        <v>17</v>
      </c>
      <c r="H36" s="666" t="s">
        <v>18</v>
      </c>
      <c r="I36" s="425">
        <v>1</v>
      </c>
      <c r="J36" s="425">
        <f>E36*I36</f>
        <v>72</v>
      </c>
      <c r="K36" s="436">
        <f>DMT!$AO$17</f>
        <v>48.4</v>
      </c>
      <c r="L36" s="425">
        <f>J36*K36</f>
        <v>3484.7999999999997</v>
      </c>
      <c r="M36" s="93"/>
      <c r="N36" s="93"/>
      <c r="O36" s="93"/>
      <c r="P36" s="93"/>
    </row>
    <row r="37" spans="1:19" s="158" customFormat="1" ht="22.5">
      <c r="A37" s="432" t="s">
        <v>369</v>
      </c>
      <c r="B37" s="432" t="s">
        <v>359</v>
      </c>
      <c r="C37" s="432">
        <v>2003767</v>
      </c>
      <c r="D37" s="423" t="s">
        <v>185</v>
      </c>
      <c r="E37" s="433">
        <f>MEMÓRIA!L192</f>
        <v>635.79999999999995</v>
      </c>
      <c r="F37" s="433" t="str">
        <f>MEMÓRIA!M192</f>
        <v>m³</v>
      </c>
      <c r="G37" s="434" t="s">
        <v>203</v>
      </c>
      <c r="H37" s="666" t="s">
        <v>204</v>
      </c>
      <c r="I37" s="425">
        <v>1.5</v>
      </c>
      <c r="J37" s="435">
        <f>E37*I37</f>
        <v>953.69999999999993</v>
      </c>
      <c r="K37" s="436">
        <f>DMT!$AO$17</f>
        <v>48.4</v>
      </c>
      <c r="L37" s="435">
        <f>J37*K37</f>
        <v>46159.079999999994</v>
      </c>
      <c r="M37" s="93"/>
      <c r="N37" s="93"/>
      <c r="O37" s="93"/>
      <c r="P37" s="93"/>
    </row>
    <row r="38" spans="1:19" s="8" customFormat="1" ht="30" customHeight="1">
      <c r="A38" s="426" t="str">
        <f>ORÇAMENTO!B63</f>
        <v>5.3.12</v>
      </c>
      <c r="B38" s="427"/>
      <c r="C38" s="428">
        <v>5914479</v>
      </c>
      <c r="D38" s="429" t="s">
        <v>157</v>
      </c>
      <c r="E38" s="430"/>
      <c r="F38" s="430"/>
      <c r="G38" s="430"/>
      <c r="H38" s="430"/>
      <c r="I38" s="430"/>
      <c r="J38" s="430"/>
      <c r="K38" s="430"/>
      <c r="L38" s="431">
        <f>ROUND(SUBTOTAL(109,L41:L47),2)</f>
        <v>1614.81</v>
      </c>
      <c r="M38" s="59" t="s">
        <v>11</v>
      </c>
      <c r="N38" s="59" t="s">
        <v>11</v>
      </c>
      <c r="O38" s="59" t="s">
        <v>11</v>
      </c>
      <c r="P38" s="7"/>
      <c r="Q38" s="7"/>
      <c r="R38" s="7"/>
      <c r="S38" s="7"/>
    </row>
    <row r="39" spans="1:19" s="158" customFormat="1" ht="15" customHeight="1">
      <c r="A39" s="612" t="s">
        <v>357</v>
      </c>
      <c r="B39" s="612" t="s">
        <v>358</v>
      </c>
      <c r="C39" s="611" t="s">
        <v>361</v>
      </c>
      <c r="D39" s="612" t="s">
        <v>355</v>
      </c>
      <c r="E39" s="612" t="s">
        <v>2</v>
      </c>
      <c r="F39" s="612" t="s">
        <v>3</v>
      </c>
      <c r="G39" s="611" t="s">
        <v>362</v>
      </c>
      <c r="H39" s="612" t="s">
        <v>356</v>
      </c>
      <c r="I39" s="613" t="s">
        <v>374</v>
      </c>
      <c r="J39" s="611" t="s">
        <v>363</v>
      </c>
      <c r="K39" s="611" t="s">
        <v>364</v>
      </c>
      <c r="L39" s="611" t="s">
        <v>365</v>
      </c>
    </row>
    <row r="40" spans="1:19" s="158" customFormat="1">
      <c r="A40" s="612"/>
      <c r="B40" s="612"/>
      <c r="C40" s="611"/>
      <c r="D40" s="612"/>
      <c r="E40" s="612"/>
      <c r="F40" s="612"/>
      <c r="G40" s="611"/>
      <c r="H40" s="612"/>
      <c r="I40" s="614"/>
      <c r="J40" s="612"/>
      <c r="K40" s="612"/>
      <c r="L40" s="612"/>
    </row>
    <row r="41" spans="1:19" s="158" customFormat="1" ht="45">
      <c r="A41" s="432" t="s">
        <v>368</v>
      </c>
      <c r="B41" s="432" t="s">
        <v>359</v>
      </c>
      <c r="C41" s="432" t="s">
        <v>293</v>
      </c>
      <c r="D41" s="423" t="s">
        <v>353</v>
      </c>
      <c r="E41" s="433">
        <f>MEMÓRIA!$L$173</f>
        <v>374</v>
      </c>
      <c r="F41" s="433" t="str">
        <f>MEMÓRIA!$M$173</f>
        <v>m</v>
      </c>
      <c r="G41" s="434" t="s">
        <v>223</v>
      </c>
      <c r="H41" s="666" t="s">
        <v>253</v>
      </c>
      <c r="I41" s="425">
        <v>5.0000000000000001E-4</v>
      </c>
      <c r="J41" s="435">
        <f t="shared" ref="J41:J47" si="2">E41*I41</f>
        <v>0.187</v>
      </c>
      <c r="K41" s="437">
        <f>DMT!$AO$18</f>
        <v>136.4</v>
      </c>
      <c r="L41" s="435">
        <f t="shared" ref="L41:L47" si="3">J41*K41</f>
        <v>25.506800000000002</v>
      </c>
      <c r="M41" s="93"/>
      <c r="N41" s="93"/>
      <c r="O41" s="93"/>
      <c r="P41" s="93"/>
    </row>
    <row r="42" spans="1:19" s="158" customFormat="1" ht="33.75">
      <c r="A42" s="432" t="s">
        <v>368</v>
      </c>
      <c r="B42" s="432" t="s">
        <v>359</v>
      </c>
      <c r="C42" s="432" t="s">
        <v>293</v>
      </c>
      <c r="D42" s="423" t="s">
        <v>353</v>
      </c>
      <c r="E42" s="433">
        <f>MEMÓRIA!$L$173</f>
        <v>374</v>
      </c>
      <c r="F42" s="433" t="str">
        <f>MEMÓRIA!$M$173</f>
        <v>m</v>
      </c>
      <c r="G42" s="434" t="s">
        <v>349</v>
      </c>
      <c r="H42" s="666" t="s">
        <v>347</v>
      </c>
      <c r="I42" s="425">
        <v>2.7731000000000002E-2</v>
      </c>
      <c r="J42" s="435">
        <f t="shared" si="2"/>
        <v>10.371394</v>
      </c>
      <c r="K42" s="437">
        <f>DMT!$AO$18</f>
        <v>136.4</v>
      </c>
      <c r="L42" s="435">
        <f t="shared" si="3"/>
        <v>1414.6581416000001</v>
      </c>
      <c r="M42" s="93"/>
      <c r="N42" s="93"/>
      <c r="O42" s="93"/>
      <c r="P42" s="93"/>
    </row>
    <row r="43" spans="1:19" s="158" customFormat="1" ht="45">
      <c r="A43" s="432" t="s">
        <v>368</v>
      </c>
      <c r="B43" s="432" t="s">
        <v>359</v>
      </c>
      <c r="C43" s="432" t="s">
        <v>300</v>
      </c>
      <c r="D43" s="423" t="s">
        <v>354</v>
      </c>
      <c r="E43" s="433">
        <f>MEMÓRIA!$L$179</f>
        <v>40</v>
      </c>
      <c r="F43" s="433" t="str">
        <f>MEMÓRIA!$M$179</f>
        <v>m</v>
      </c>
      <c r="G43" s="434" t="s">
        <v>223</v>
      </c>
      <c r="H43" s="666" t="s">
        <v>253</v>
      </c>
      <c r="I43" s="425">
        <v>5.0000000000000001E-4</v>
      </c>
      <c r="J43" s="435">
        <f t="shared" si="2"/>
        <v>0.02</v>
      </c>
      <c r="K43" s="437">
        <f>DMT!$AO$18</f>
        <v>136.4</v>
      </c>
      <c r="L43" s="435">
        <f t="shared" si="3"/>
        <v>2.7280000000000002</v>
      </c>
      <c r="M43" s="93"/>
      <c r="N43" s="93"/>
      <c r="O43" s="93"/>
      <c r="P43" s="93"/>
    </row>
    <row r="44" spans="1:19" s="158" customFormat="1" ht="33.75">
      <c r="A44" s="432" t="s">
        <v>368</v>
      </c>
      <c r="B44" s="432" t="s">
        <v>359</v>
      </c>
      <c r="C44" s="432" t="s">
        <v>300</v>
      </c>
      <c r="D44" s="423" t="s">
        <v>354</v>
      </c>
      <c r="E44" s="433">
        <f>MEMÓRIA!$L$179</f>
        <v>40</v>
      </c>
      <c r="F44" s="433" t="str">
        <f>MEMÓRIA!$M$179</f>
        <v>m</v>
      </c>
      <c r="G44" s="434" t="s">
        <v>349</v>
      </c>
      <c r="H44" s="666" t="s">
        <v>347</v>
      </c>
      <c r="I44" s="425">
        <v>3.0251999999999998E-2</v>
      </c>
      <c r="J44" s="435">
        <f t="shared" si="2"/>
        <v>1.2100799999999998</v>
      </c>
      <c r="K44" s="437">
        <f>DMT!$AO$18</f>
        <v>136.4</v>
      </c>
      <c r="L44" s="435">
        <f t="shared" si="3"/>
        <v>165.05491199999997</v>
      </c>
      <c r="M44" s="93"/>
      <c r="N44" s="93"/>
      <c r="O44" s="93"/>
      <c r="P44" s="93"/>
    </row>
    <row r="45" spans="1:19" s="158" customFormat="1" ht="45">
      <c r="A45" s="432" t="s">
        <v>368</v>
      </c>
      <c r="B45" s="415" t="s">
        <v>359</v>
      </c>
      <c r="C45" s="415" t="s">
        <v>605</v>
      </c>
      <c r="D45" s="418" t="s">
        <v>603</v>
      </c>
      <c r="E45" s="422">
        <f>MEMÓRIA!$L$185</f>
        <v>72</v>
      </c>
      <c r="F45" s="422" t="str">
        <f>MEMÓRIA!$M$185</f>
        <v>m</v>
      </c>
      <c r="G45" s="424" t="s">
        <v>223</v>
      </c>
      <c r="H45" s="666" t="s">
        <v>253</v>
      </c>
      <c r="I45" s="425">
        <v>7.5000000000000002E-4</v>
      </c>
      <c r="J45" s="425">
        <f t="shared" si="2"/>
        <v>5.3999999999999999E-2</v>
      </c>
      <c r="K45" s="421">
        <f>DMT!$AO$16</f>
        <v>3</v>
      </c>
      <c r="L45" s="425">
        <f t="shared" si="3"/>
        <v>0.16200000000000001</v>
      </c>
      <c r="M45" s="93"/>
      <c r="N45" s="93"/>
      <c r="O45" s="93"/>
      <c r="P45" s="93"/>
    </row>
    <row r="46" spans="1:19" s="158" customFormat="1" ht="45">
      <c r="A46" s="432" t="s">
        <v>368</v>
      </c>
      <c r="B46" s="415" t="s">
        <v>359</v>
      </c>
      <c r="C46" s="415" t="s">
        <v>605</v>
      </c>
      <c r="D46" s="418" t="s">
        <v>603</v>
      </c>
      <c r="E46" s="422">
        <f>MEMÓRIA!$L$185</f>
        <v>72</v>
      </c>
      <c r="F46" s="422" t="str">
        <f>MEMÓRIA!$M$185</f>
        <v>m</v>
      </c>
      <c r="G46" s="424" t="s">
        <v>220</v>
      </c>
      <c r="H46" s="666" t="s">
        <v>250</v>
      </c>
      <c r="I46" s="425">
        <v>7.5000000000000002E-4</v>
      </c>
      <c r="J46" s="425">
        <f t="shared" si="2"/>
        <v>5.3999999999999999E-2</v>
      </c>
      <c r="K46" s="421">
        <f>DMT!$AO$16</f>
        <v>3</v>
      </c>
      <c r="L46" s="425">
        <f t="shared" si="3"/>
        <v>0.16200000000000001</v>
      </c>
      <c r="M46" s="93"/>
      <c r="N46" s="93"/>
      <c r="O46" s="93"/>
      <c r="P46" s="93"/>
    </row>
    <row r="47" spans="1:19" s="158" customFormat="1" ht="33.75">
      <c r="A47" s="432" t="s">
        <v>368</v>
      </c>
      <c r="B47" s="415" t="s">
        <v>359</v>
      </c>
      <c r="C47" s="415" t="s">
        <v>605</v>
      </c>
      <c r="D47" s="418" t="s">
        <v>603</v>
      </c>
      <c r="E47" s="422">
        <f>MEMÓRIA!$L$185</f>
        <v>72</v>
      </c>
      <c r="F47" s="422" t="str">
        <f>MEMÓRIA!$M$185</f>
        <v>m</v>
      </c>
      <c r="G47" s="424" t="s">
        <v>349</v>
      </c>
      <c r="H47" s="666" t="s">
        <v>347</v>
      </c>
      <c r="I47" s="425">
        <v>3.0251999999999998E-2</v>
      </c>
      <c r="J47" s="425">
        <f t="shared" si="2"/>
        <v>2.1781439999999996</v>
      </c>
      <c r="K47" s="421">
        <f>DMT!$AO$16</f>
        <v>3</v>
      </c>
      <c r="L47" s="425">
        <f t="shared" si="3"/>
        <v>6.5344319999999989</v>
      </c>
      <c r="M47" s="93"/>
      <c r="N47" s="93"/>
      <c r="O47" s="93"/>
      <c r="P47" s="93"/>
    </row>
    <row r="48" spans="1:19">
      <c r="A48" s="405"/>
      <c r="B48" s="405"/>
      <c r="C48" s="405"/>
      <c r="D48" s="405"/>
      <c r="E48" s="405"/>
      <c r="F48" s="405"/>
      <c r="G48" s="405"/>
      <c r="H48" s="405"/>
      <c r="I48" s="405"/>
      <c r="J48" s="405"/>
      <c r="K48" s="405"/>
      <c r="L48" s="405"/>
    </row>
    <row r="49" spans="1:19" s="158" customFormat="1">
      <c r="A49" s="406" t="str">
        <f>ORÇAMENTO!B64</f>
        <v>5.4</v>
      </c>
      <c r="B49" s="407" t="str">
        <f>INDEX(ORÇAMENTO!E:E,MATCH(A49,ORÇAMENTO!B:B,0))</f>
        <v>REVESTIMENTO DA BACIA DO FOREBAY</v>
      </c>
      <c r="C49" s="408"/>
      <c r="D49" s="408"/>
      <c r="E49" s="408"/>
      <c r="F49" s="408"/>
      <c r="G49" s="408"/>
      <c r="H49" s="408"/>
      <c r="I49" s="408"/>
      <c r="J49" s="408"/>
      <c r="K49" s="408"/>
      <c r="L49" s="408"/>
    </row>
    <row r="50" spans="1:19" s="8" customFormat="1" ht="30" customHeight="1">
      <c r="A50" s="409" t="str">
        <f>ORÇAMENTO!A77</f>
        <v>5.4.7</v>
      </c>
      <c r="B50" s="410"/>
      <c r="C50" s="411">
        <v>5914449</v>
      </c>
      <c r="D50" s="412" t="s">
        <v>118</v>
      </c>
      <c r="E50" s="413"/>
      <c r="F50" s="413"/>
      <c r="G50" s="413"/>
      <c r="H50" s="413"/>
      <c r="I50" s="413"/>
      <c r="J50" s="413"/>
      <c r="K50" s="413"/>
      <c r="L50" s="414">
        <f>ROUND(SUBTOTAL(109,L53:L57),2)</f>
        <v>498.7</v>
      </c>
      <c r="M50" s="59" t="s">
        <v>11</v>
      </c>
      <c r="N50" s="59" t="s">
        <v>11</v>
      </c>
      <c r="O50" s="59" t="s">
        <v>11</v>
      </c>
      <c r="P50" s="7"/>
      <c r="Q50" s="7"/>
      <c r="R50" s="7"/>
      <c r="S50" s="7"/>
    </row>
    <row r="51" spans="1:19" s="158" customFormat="1" ht="15" customHeight="1">
      <c r="A51" s="616" t="s">
        <v>357</v>
      </c>
      <c r="B51" s="616" t="s">
        <v>358</v>
      </c>
      <c r="C51" s="615" t="s">
        <v>361</v>
      </c>
      <c r="D51" s="616" t="s">
        <v>355</v>
      </c>
      <c r="E51" s="616" t="s">
        <v>2</v>
      </c>
      <c r="F51" s="616" t="s">
        <v>3</v>
      </c>
      <c r="G51" s="615" t="s">
        <v>362</v>
      </c>
      <c r="H51" s="616" t="s">
        <v>356</v>
      </c>
      <c r="I51" s="613" t="s">
        <v>374</v>
      </c>
      <c r="J51" s="615" t="s">
        <v>363</v>
      </c>
      <c r="K51" s="615" t="s">
        <v>364</v>
      </c>
      <c r="L51" s="615" t="s">
        <v>365</v>
      </c>
    </row>
    <row r="52" spans="1:19" s="158" customFormat="1">
      <c r="A52" s="616"/>
      <c r="B52" s="616"/>
      <c r="C52" s="615"/>
      <c r="D52" s="616"/>
      <c r="E52" s="616"/>
      <c r="F52" s="616"/>
      <c r="G52" s="615"/>
      <c r="H52" s="616"/>
      <c r="I52" s="614"/>
      <c r="J52" s="616"/>
      <c r="K52" s="616"/>
      <c r="L52" s="616"/>
    </row>
    <row r="53" spans="1:19" s="158" customFormat="1" ht="45" customHeight="1">
      <c r="A53" s="415" t="s">
        <v>375</v>
      </c>
      <c r="B53" s="415" t="s">
        <v>359</v>
      </c>
      <c r="C53" s="415" t="s">
        <v>642</v>
      </c>
      <c r="D53" s="418" t="s">
        <v>301</v>
      </c>
      <c r="E53" s="422">
        <f>MEMÓRIA!$L$197</f>
        <v>6358</v>
      </c>
      <c r="F53" s="422" t="str">
        <f>MEMÓRIA!$M$197</f>
        <v>m²</v>
      </c>
      <c r="G53" s="424">
        <v>25871</v>
      </c>
      <c r="H53" s="423" t="s">
        <v>301</v>
      </c>
      <c r="I53" s="425">
        <v>1.0300000000000001E-3</v>
      </c>
      <c r="J53" s="425">
        <f>E53*I53</f>
        <v>6.5487400000000004</v>
      </c>
      <c r="K53" s="421">
        <f>DMT!$AO$16</f>
        <v>3</v>
      </c>
      <c r="L53" s="425">
        <f>J53*K53</f>
        <v>19.64622</v>
      </c>
      <c r="M53" s="93"/>
      <c r="N53" s="93"/>
      <c r="O53" s="93"/>
      <c r="P53" s="93"/>
    </row>
    <row r="54" spans="1:19" s="158" customFormat="1" ht="45" customHeight="1">
      <c r="A54" s="415" t="s">
        <v>375</v>
      </c>
      <c r="B54" s="415" t="s">
        <v>359</v>
      </c>
      <c r="C54" s="415">
        <v>1107928</v>
      </c>
      <c r="D54" s="418" t="s">
        <v>181</v>
      </c>
      <c r="E54" s="422">
        <f>MEMÓRIA!$L$201</f>
        <v>574.21</v>
      </c>
      <c r="F54" s="422" t="str">
        <f>MEMÓRIA!$M$201</f>
        <v>m³</v>
      </c>
      <c r="G54" s="424" t="s">
        <v>152</v>
      </c>
      <c r="H54" s="423" t="s">
        <v>153</v>
      </c>
      <c r="I54" s="425">
        <v>8.1999999999999998E-4</v>
      </c>
      <c r="J54" s="425">
        <f>E54*I54</f>
        <v>0.4708522</v>
      </c>
      <c r="K54" s="421">
        <f>DMT!$AO$16</f>
        <v>3</v>
      </c>
      <c r="L54" s="425">
        <f>J54*K54</f>
        <v>1.4125566000000001</v>
      </c>
      <c r="M54" s="93"/>
      <c r="N54" s="93"/>
      <c r="O54" s="93"/>
      <c r="P54" s="93"/>
    </row>
    <row r="55" spans="1:19" s="158" customFormat="1" ht="45" customHeight="1">
      <c r="A55" s="415" t="s">
        <v>375</v>
      </c>
      <c r="B55" s="415" t="s">
        <v>359</v>
      </c>
      <c r="C55" s="415">
        <v>1107928</v>
      </c>
      <c r="D55" s="418" t="s">
        <v>181</v>
      </c>
      <c r="E55" s="422">
        <f>MEMÓRIA!$L$201</f>
        <v>574.21</v>
      </c>
      <c r="F55" s="422" t="str">
        <f>MEMÓRIA!$M$201</f>
        <v>m³</v>
      </c>
      <c r="G55" s="424" t="s">
        <v>156</v>
      </c>
      <c r="H55" s="423" t="s">
        <v>210</v>
      </c>
      <c r="I55" s="425">
        <v>0.27464</v>
      </c>
      <c r="J55" s="425">
        <f>E55*I55</f>
        <v>157.7010344</v>
      </c>
      <c r="K55" s="421">
        <f>DMT!$AO$16</f>
        <v>3</v>
      </c>
      <c r="L55" s="425">
        <f>J55*K55</f>
        <v>473.10310319999996</v>
      </c>
      <c r="M55" s="93"/>
      <c r="N55" s="93"/>
      <c r="O55" s="93"/>
      <c r="P55" s="93"/>
    </row>
    <row r="56" spans="1:19" s="158" customFormat="1" ht="45" customHeight="1">
      <c r="A56" s="415" t="s">
        <v>375</v>
      </c>
      <c r="B56" s="415" t="s">
        <v>359</v>
      </c>
      <c r="C56" s="415">
        <v>3108018</v>
      </c>
      <c r="D56" s="418" t="s">
        <v>186</v>
      </c>
      <c r="E56" s="422">
        <f>MEMÓRIA!$L$214</f>
        <v>821.37</v>
      </c>
      <c r="F56" s="422" t="str">
        <f>MEMÓRIA!$M$214</f>
        <v>m</v>
      </c>
      <c r="G56" s="424" t="s">
        <v>218</v>
      </c>
      <c r="H56" s="423" t="s">
        <v>219</v>
      </c>
      <c r="I56" s="425">
        <v>1.8400000000000001E-3</v>
      </c>
      <c r="J56" s="425">
        <f>E56*I56</f>
        <v>1.5113208</v>
      </c>
      <c r="K56" s="421">
        <f>DMT!$AO$16</f>
        <v>3</v>
      </c>
      <c r="L56" s="425">
        <f>J56*K56</f>
        <v>4.5339624000000001</v>
      </c>
      <c r="M56" s="93"/>
      <c r="N56" s="93"/>
      <c r="O56" s="93"/>
      <c r="P56" s="93"/>
    </row>
    <row r="57" spans="1:19" s="158" customFormat="1" ht="45" customHeight="1">
      <c r="A57" s="415" t="s">
        <v>375</v>
      </c>
      <c r="B57" s="438" t="s">
        <v>359</v>
      </c>
      <c r="C57" s="415" t="s">
        <v>643</v>
      </c>
      <c r="D57" s="418" t="s">
        <v>313</v>
      </c>
      <c r="E57" s="422">
        <f>MEMÓRIA!$L$220</f>
        <v>284.69</v>
      </c>
      <c r="F57" s="422" t="str">
        <f>MEMÓRIA!$M$220</f>
        <v>m</v>
      </c>
      <c r="G57" s="424" t="s">
        <v>212</v>
      </c>
      <c r="H57" s="423" t="s">
        <v>213</v>
      </c>
      <c r="I57" s="425">
        <v>1.0000000000000001E-5</v>
      </c>
      <c r="J57" s="439">
        <f>E57*I57</f>
        <v>2.8469000000000003E-3</v>
      </c>
      <c r="K57" s="421">
        <f>DMT!$AO$16</f>
        <v>3</v>
      </c>
      <c r="L57" s="439">
        <f>J57*K57</f>
        <v>8.5407000000000018E-3</v>
      </c>
      <c r="M57" s="93"/>
      <c r="N57" s="93"/>
      <c r="O57" s="93"/>
      <c r="P57" s="93"/>
    </row>
    <row r="58" spans="1:19" s="8" customFormat="1" ht="30" customHeight="1">
      <c r="A58" s="409" t="str">
        <f>ORÇAMENTO!B78</f>
        <v>5.4.8</v>
      </c>
      <c r="B58" s="410"/>
      <c r="C58" s="411">
        <v>5914359</v>
      </c>
      <c r="D58" s="412" t="s">
        <v>116</v>
      </c>
      <c r="E58" s="413"/>
      <c r="F58" s="413"/>
      <c r="G58" s="413"/>
      <c r="H58" s="413"/>
      <c r="I58" s="413"/>
      <c r="J58" s="413"/>
      <c r="K58" s="413"/>
      <c r="L58" s="414">
        <f>ROUND(SUBTOTAL(109,L61:L63),2)</f>
        <v>3546.91</v>
      </c>
      <c r="M58" s="59" t="s">
        <v>11</v>
      </c>
      <c r="N58" s="59" t="s">
        <v>11</v>
      </c>
      <c r="O58" s="59" t="s">
        <v>11</v>
      </c>
      <c r="P58" s="7"/>
      <c r="Q58" s="7"/>
      <c r="R58" s="7"/>
      <c r="S58" s="7"/>
    </row>
    <row r="59" spans="1:19" s="158" customFormat="1" ht="15" customHeight="1">
      <c r="A59" s="614" t="s">
        <v>357</v>
      </c>
      <c r="B59" s="614" t="s">
        <v>358</v>
      </c>
      <c r="C59" s="613" t="s">
        <v>361</v>
      </c>
      <c r="D59" s="614" t="s">
        <v>355</v>
      </c>
      <c r="E59" s="614" t="s">
        <v>2</v>
      </c>
      <c r="F59" s="614" t="s">
        <v>3</v>
      </c>
      <c r="G59" s="613" t="s">
        <v>362</v>
      </c>
      <c r="H59" s="614" t="s">
        <v>356</v>
      </c>
      <c r="I59" s="613" t="s">
        <v>374</v>
      </c>
      <c r="J59" s="613" t="s">
        <v>363</v>
      </c>
      <c r="K59" s="613" t="s">
        <v>364</v>
      </c>
      <c r="L59" s="613" t="s">
        <v>365</v>
      </c>
    </row>
    <row r="60" spans="1:19" s="158" customFormat="1">
      <c r="A60" s="614"/>
      <c r="B60" s="614"/>
      <c r="C60" s="613"/>
      <c r="D60" s="614"/>
      <c r="E60" s="614"/>
      <c r="F60" s="614"/>
      <c r="G60" s="613"/>
      <c r="H60" s="614"/>
      <c r="I60" s="614"/>
      <c r="J60" s="614"/>
      <c r="K60" s="614"/>
      <c r="L60" s="614"/>
    </row>
    <row r="61" spans="1:19" s="158" customFormat="1" ht="33.75">
      <c r="A61" s="415" t="s">
        <v>375</v>
      </c>
      <c r="B61" s="415" t="s">
        <v>359</v>
      </c>
      <c r="C61" s="415">
        <v>1107928</v>
      </c>
      <c r="D61" s="418" t="s">
        <v>181</v>
      </c>
      <c r="E61" s="422">
        <f>MEMÓRIA!$L$201</f>
        <v>574.21</v>
      </c>
      <c r="F61" s="422" t="str">
        <f>MEMÓRIA!$M$201</f>
        <v>m³</v>
      </c>
      <c r="G61" s="424" t="s">
        <v>149</v>
      </c>
      <c r="H61" s="423" t="s">
        <v>150</v>
      </c>
      <c r="I61" s="425">
        <v>0.95638999999999996</v>
      </c>
      <c r="J61" s="425">
        <f>E61*I61</f>
        <v>549.16870189999997</v>
      </c>
      <c r="K61" s="421">
        <f>DMT!$AO$16</f>
        <v>3</v>
      </c>
      <c r="L61" s="425">
        <f>J61*K61</f>
        <v>1647.5061056999998</v>
      </c>
      <c r="M61" s="93"/>
      <c r="N61" s="93"/>
      <c r="O61" s="93"/>
      <c r="P61" s="93"/>
    </row>
    <row r="62" spans="1:19" s="158" customFormat="1" ht="33.75">
      <c r="A62" s="415" t="s">
        <v>375</v>
      </c>
      <c r="B62" s="415" t="s">
        <v>359</v>
      </c>
      <c r="C62" s="415">
        <v>1107928</v>
      </c>
      <c r="D62" s="418" t="s">
        <v>181</v>
      </c>
      <c r="E62" s="422">
        <f>MEMÓRIA!$L$201</f>
        <v>574.21</v>
      </c>
      <c r="F62" s="422" t="str">
        <f>MEMÓRIA!$M$201</f>
        <v>m³</v>
      </c>
      <c r="G62" s="424" t="s">
        <v>154</v>
      </c>
      <c r="H62" s="423" t="s">
        <v>155</v>
      </c>
      <c r="I62" s="425">
        <v>0.55130999999999997</v>
      </c>
      <c r="J62" s="425">
        <f>E62*I62</f>
        <v>316.56771509999999</v>
      </c>
      <c r="K62" s="421">
        <f>DMT!$AO$16</f>
        <v>3</v>
      </c>
      <c r="L62" s="425">
        <f>J62*K62</f>
        <v>949.70314529999996</v>
      </c>
      <c r="M62" s="93"/>
      <c r="N62" s="93"/>
      <c r="O62" s="93"/>
      <c r="P62" s="93"/>
    </row>
    <row r="63" spans="1:19" s="158" customFormat="1" ht="33.75">
      <c r="A63" s="415" t="s">
        <v>375</v>
      </c>
      <c r="B63" s="415" t="s">
        <v>359</v>
      </c>
      <c r="C63" s="415">
        <v>1107928</v>
      </c>
      <c r="D63" s="418" t="s">
        <v>181</v>
      </c>
      <c r="E63" s="422">
        <f>MEMÓRIA!$L$201</f>
        <v>574.21</v>
      </c>
      <c r="F63" s="422" t="str">
        <f>MEMÓRIA!$M$201</f>
        <v>m³</v>
      </c>
      <c r="G63" s="424" t="s">
        <v>17</v>
      </c>
      <c r="H63" s="423" t="s">
        <v>18</v>
      </c>
      <c r="I63" s="425">
        <v>0.55130999999999997</v>
      </c>
      <c r="J63" s="425">
        <f>E63*I63</f>
        <v>316.56771509999999</v>
      </c>
      <c r="K63" s="421">
        <f>DMT!$AO$16</f>
        <v>3</v>
      </c>
      <c r="L63" s="425">
        <f>J63*K63</f>
        <v>949.70314529999996</v>
      </c>
      <c r="M63" s="93"/>
      <c r="N63" s="93"/>
      <c r="O63" s="93"/>
      <c r="P63" s="93"/>
    </row>
    <row r="64" spans="1:19" s="8" customFormat="1" ht="30" customHeight="1">
      <c r="A64" s="409" t="str">
        <f>ORÇAMENTO!B79</f>
        <v>5.4.9</v>
      </c>
      <c r="B64" s="410"/>
      <c r="C64" s="411">
        <v>5914539</v>
      </c>
      <c r="D64" s="412" t="s">
        <v>192</v>
      </c>
      <c r="E64" s="413"/>
      <c r="F64" s="413"/>
      <c r="G64" s="413"/>
      <c r="H64" s="413"/>
      <c r="I64" s="413"/>
      <c r="J64" s="413"/>
      <c r="K64" s="413"/>
      <c r="L64" s="414">
        <f>ROUND(SUBTOTAL(109,L67:L68),2)</f>
        <v>4134.3100000000004</v>
      </c>
      <c r="M64" s="59" t="s">
        <v>11</v>
      </c>
      <c r="N64" s="59" t="s">
        <v>11</v>
      </c>
      <c r="O64" s="59" t="s">
        <v>11</v>
      </c>
      <c r="P64" s="7"/>
      <c r="Q64" s="7"/>
      <c r="R64" s="7"/>
      <c r="S64" s="7"/>
    </row>
    <row r="65" spans="1:19" s="158" customFormat="1" ht="15" customHeight="1">
      <c r="A65" s="614" t="s">
        <v>357</v>
      </c>
      <c r="B65" s="614" t="s">
        <v>358</v>
      </c>
      <c r="C65" s="613" t="s">
        <v>361</v>
      </c>
      <c r="D65" s="614" t="s">
        <v>355</v>
      </c>
      <c r="E65" s="614" t="s">
        <v>2</v>
      </c>
      <c r="F65" s="614" t="s">
        <v>3</v>
      </c>
      <c r="G65" s="613" t="s">
        <v>362</v>
      </c>
      <c r="H65" s="614" t="s">
        <v>356</v>
      </c>
      <c r="I65" s="613" t="s">
        <v>374</v>
      </c>
      <c r="J65" s="613" t="s">
        <v>363</v>
      </c>
      <c r="K65" s="613" t="s">
        <v>364</v>
      </c>
      <c r="L65" s="613" t="s">
        <v>365</v>
      </c>
    </row>
    <row r="66" spans="1:19" s="158" customFormat="1">
      <c r="A66" s="614"/>
      <c r="B66" s="614"/>
      <c r="C66" s="613"/>
      <c r="D66" s="614"/>
      <c r="E66" s="614"/>
      <c r="F66" s="614"/>
      <c r="G66" s="613"/>
      <c r="H66" s="614"/>
      <c r="I66" s="614"/>
      <c r="J66" s="614"/>
      <c r="K66" s="614"/>
      <c r="L66" s="614"/>
    </row>
    <row r="67" spans="1:19" s="158" customFormat="1" ht="45">
      <c r="A67" s="415" t="s">
        <v>375</v>
      </c>
      <c r="B67" s="415" t="s">
        <v>359</v>
      </c>
      <c r="C67" s="415">
        <v>1106050</v>
      </c>
      <c r="D67" s="418" t="s">
        <v>182</v>
      </c>
      <c r="E67" s="422">
        <f>MEMÓRIA!$L$206</f>
        <v>129.15</v>
      </c>
      <c r="F67" s="422" t="str">
        <f>MEMÓRIA!$M$206</f>
        <v>m³</v>
      </c>
      <c r="G67" s="424" t="s">
        <v>226</v>
      </c>
      <c r="H67" s="666" t="s">
        <v>180</v>
      </c>
      <c r="I67" s="425">
        <v>2.4</v>
      </c>
      <c r="J67" s="425">
        <f>E67*I67</f>
        <v>309.95999999999998</v>
      </c>
      <c r="K67" s="421">
        <f>DMT!$AO$16</f>
        <v>3</v>
      </c>
      <c r="L67" s="425">
        <f>J67*K67</f>
        <v>929.87999999999988</v>
      </c>
      <c r="M67" s="93"/>
      <c r="N67" s="93"/>
      <c r="O67" s="93"/>
      <c r="P67" s="93"/>
    </row>
    <row r="68" spans="1:19" s="158" customFormat="1" ht="56.25">
      <c r="A68" s="415" t="s">
        <v>375</v>
      </c>
      <c r="B68" s="415" t="s">
        <v>359</v>
      </c>
      <c r="C68" s="415">
        <v>1106088</v>
      </c>
      <c r="D68" s="418" t="s">
        <v>183</v>
      </c>
      <c r="E68" s="422">
        <f>MEMÓRIA!$L$210</f>
        <v>445.06</v>
      </c>
      <c r="F68" s="422" t="str">
        <f>MEMÓRIA!$M$210</f>
        <v>m³</v>
      </c>
      <c r="G68" s="424" t="s">
        <v>226</v>
      </c>
      <c r="H68" s="666" t="s">
        <v>180</v>
      </c>
      <c r="I68" s="425">
        <v>2.4</v>
      </c>
      <c r="J68" s="425">
        <f>E68*I68</f>
        <v>1068.144</v>
      </c>
      <c r="K68" s="421">
        <f>DMT!$AO$16</f>
        <v>3</v>
      </c>
      <c r="L68" s="425">
        <f>J68*K68</f>
        <v>3204.4319999999998</v>
      </c>
      <c r="M68" s="93"/>
      <c r="N68" s="93"/>
      <c r="O68" s="93"/>
      <c r="P68" s="93"/>
    </row>
    <row r="69" spans="1:19" s="8" customFormat="1" ht="30" customHeight="1">
      <c r="A69" s="426" t="str">
        <f>ORÇAMENTO!B80</f>
        <v>5.4.10</v>
      </c>
      <c r="B69" s="427"/>
      <c r="C69" s="428">
        <v>5914479</v>
      </c>
      <c r="D69" s="429" t="s">
        <v>157</v>
      </c>
      <c r="E69" s="430"/>
      <c r="F69" s="430"/>
      <c r="G69" s="430"/>
      <c r="H69" s="430"/>
      <c r="I69" s="430"/>
      <c r="J69" s="430"/>
      <c r="K69" s="430"/>
      <c r="L69" s="431">
        <f>ROUND(SUBTOTAL(109,L72:L76),2)</f>
        <v>22541.43</v>
      </c>
      <c r="M69" s="59" t="s">
        <v>11</v>
      </c>
      <c r="N69" s="59" t="s">
        <v>11</v>
      </c>
      <c r="O69" s="59" t="s">
        <v>11</v>
      </c>
      <c r="P69" s="7"/>
      <c r="Q69" s="7"/>
      <c r="R69" s="7"/>
      <c r="S69" s="7"/>
    </row>
    <row r="70" spans="1:19" s="158" customFormat="1" ht="15" customHeight="1">
      <c r="A70" s="612" t="s">
        <v>357</v>
      </c>
      <c r="B70" s="612" t="s">
        <v>358</v>
      </c>
      <c r="C70" s="611" t="s">
        <v>361</v>
      </c>
      <c r="D70" s="612" t="s">
        <v>355</v>
      </c>
      <c r="E70" s="612" t="s">
        <v>2</v>
      </c>
      <c r="F70" s="612" t="s">
        <v>3</v>
      </c>
      <c r="G70" s="611" t="s">
        <v>362</v>
      </c>
      <c r="H70" s="612" t="s">
        <v>356</v>
      </c>
      <c r="I70" s="613" t="s">
        <v>374</v>
      </c>
      <c r="J70" s="611" t="s">
        <v>363</v>
      </c>
      <c r="K70" s="611" t="s">
        <v>364</v>
      </c>
      <c r="L70" s="611" t="s">
        <v>365</v>
      </c>
    </row>
    <row r="71" spans="1:19" s="158" customFormat="1">
      <c r="A71" s="612"/>
      <c r="B71" s="612"/>
      <c r="C71" s="611"/>
      <c r="D71" s="612"/>
      <c r="E71" s="612"/>
      <c r="F71" s="612"/>
      <c r="G71" s="611"/>
      <c r="H71" s="612"/>
      <c r="I71" s="614"/>
      <c r="J71" s="612"/>
      <c r="K71" s="612"/>
      <c r="L71" s="612"/>
    </row>
    <row r="72" spans="1:19" s="158" customFormat="1" ht="45" customHeight="1">
      <c r="A72" s="415" t="s">
        <v>368</v>
      </c>
      <c r="B72" s="415" t="s">
        <v>359</v>
      </c>
      <c r="C72" s="415" t="s">
        <v>642</v>
      </c>
      <c r="D72" s="418" t="s">
        <v>301</v>
      </c>
      <c r="E72" s="422">
        <f>MEMÓRIA!$L$197</f>
        <v>6358</v>
      </c>
      <c r="F72" s="422" t="str">
        <f>MEMÓRIA!$M$197</f>
        <v>m²</v>
      </c>
      <c r="G72" s="424">
        <v>25871</v>
      </c>
      <c r="H72" s="666" t="s">
        <v>301</v>
      </c>
      <c r="I72" s="425">
        <v>1.0300000000000001E-3</v>
      </c>
      <c r="J72" s="425">
        <f>E72*I72</f>
        <v>6.5487400000000004</v>
      </c>
      <c r="K72" s="437">
        <f>DMT!$AO$18</f>
        <v>136.4</v>
      </c>
      <c r="L72" s="425">
        <f>J72*K72</f>
        <v>893.24813600000004</v>
      </c>
      <c r="M72" s="93"/>
      <c r="N72" s="93"/>
      <c r="O72" s="93"/>
      <c r="P72" s="93"/>
    </row>
    <row r="73" spans="1:19" s="158" customFormat="1" ht="45" customHeight="1">
      <c r="A73" s="415" t="s">
        <v>368</v>
      </c>
      <c r="B73" s="415" t="s">
        <v>359</v>
      </c>
      <c r="C73" s="415">
        <v>1107928</v>
      </c>
      <c r="D73" s="418" t="s">
        <v>181</v>
      </c>
      <c r="E73" s="422">
        <f>MEMÓRIA!$L$201</f>
        <v>574.21</v>
      </c>
      <c r="F73" s="422" t="str">
        <f>MEMÓRIA!$M$201</f>
        <v>m³</v>
      </c>
      <c r="G73" s="424" t="s">
        <v>152</v>
      </c>
      <c r="H73" s="666" t="s">
        <v>153</v>
      </c>
      <c r="I73" s="425">
        <v>8.1999999999999998E-4</v>
      </c>
      <c r="J73" s="425">
        <f>E73*I73</f>
        <v>0.4708522</v>
      </c>
      <c r="K73" s="437">
        <f>DMT!$AO$18</f>
        <v>136.4</v>
      </c>
      <c r="L73" s="425">
        <f>J73*K73</f>
        <v>64.224240080000001</v>
      </c>
      <c r="M73" s="93"/>
      <c r="N73" s="93"/>
      <c r="O73" s="93"/>
      <c r="P73" s="93"/>
    </row>
    <row r="74" spans="1:19" s="158" customFormat="1" ht="45" customHeight="1">
      <c r="A74" s="415" t="s">
        <v>368</v>
      </c>
      <c r="B74" s="415" t="s">
        <v>359</v>
      </c>
      <c r="C74" s="415">
        <v>1107928</v>
      </c>
      <c r="D74" s="418" t="s">
        <v>181</v>
      </c>
      <c r="E74" s="422">
        <f>MEMÓRIA!$L$201</f>
        <v>574.21</v>
      </c>
      <c r="F74" s="422" t="str">
        <f>MEMÓRIA!$M$201</f>
        <v>m³</v>
      </c>
      <c r="G74" s="424" t="s">
        <v>156</v>
      </c>
      <c r="H74" s="666" t="s">
        <v>210</v>
      </c>
      <c r="I74" s="425">
        <v>0.27464</v>
      </c>
      <c r="J74" s="425">
        <f>E74*I74</f>
        <v>157.7010344</v>
      </c>
      <c r="K74" s="437">
        <f>DMT!$AO$18</f>
        <v>136.4</v>
      </c>
      <c r="L74" s="425">
        <f>J74*K74</f>
        <v>21510.421092159999</v>
      </c>
      <c r="M74" s="93"/>
      <c r="N74" s="93"/>
      <c r="O74" s="93"/>
      <c r="P74" s="93"/>
    </row>
    <row r="75" spans="1:19" s="158" customFormat="1" ht="45" customHeight="1">
      <c r="A75" s="438" t="s">
        <v>369</v>
      </c>
      <c r="B75" s="438" t="s">
        <v>359</v>
      </c>
      <c r="C75" s="415">
        <v>3108018</v>
      </c>
      <c r="D75" s="418" t="s">
        <v>186</v>
      </c>
      <c r="E75" s="422">
        <f>MEMÓRIA!$L$214</f>
        <v>821.37</v>
      </c>
      <c r="F75" s="422" t="str">
        <f>MEMÓRIA!$M$214</f>
        <v>m</v>
      </c>
      <c r="G75" s="424" t="s">
        <v>218</v>
      </c>
      <c r="H75" s="666" t="s">
        <v>219</v>
      </c>
      <c r="I75" s="425">
        <v>1.8400000000000001E-3</v>
      </c>
      <c r="J75" s="439">
        <f>E75*I75</f>
        <v>1.5113208</v>
      </c>
      <c r="K75" s="436">
        <f>DMT!$AO$17</f>
        <v>48.4</v>
      </c>
      <c r="L75" s="439">
        <f>J75*K75</f>
        <v>73.147926720000001</v>
      </c>
      <c r="M75" s="93"/>
      <c r="N75" s="93"/>
      <c r="O75" s="93"/>
      <c r="P75" s="93"/>
    </row>
    <row r="76" spans="1:19" s="158" customFormat="1" ht="45" customHeight="1">
      <c r="A76" s="438" t="s">
        <v>368</v>
      </c>
      <c r="B76" s="438" t="s">
        <v>359</v>
      </c>
      <c r="C76" s="415" t="s">
        <v>643</v>
      </c>
      <c r="D76" s="418" t="s">
        <v>313</v>
      </c>
      <c r="E76" s="422">
        <f>MEMÓRIA!$L$220</f>
        <v>284.69</v>
      </c>
      <c r="F76" s="422" t="str">
        <f>MEMÓRIA!$M$220</f>
        <v>m</v>
      </c>
      <c r="G76" s="424" t="s">
        <v>212</v>
      </c>
      <c r="H76" s="666" t="s">
        <v>213</v>
      </c>
      <c r="I76" s="425">
        <v>1.0000000000000001E-5</v>
      </c>
      <c r="J76" s="439">
        <f>E76*I76</f>
        <v>2.8469000000000003E-3</v>
      </c>
      <c r="K76" s="437">
        <f>DMT!$AO$18</f>
        <v>136.4</v>
      </c>
      <c r="L76" s="439">
        <f>J76*K76</f>
        <v>0.38831716000000005</v>
      </c>
      <c r="M76" s="93"/>
      <c r="N76" s="93"/>
      <c r="O76" s="93"/>
      <c r="P76" s="93"/>
    </row>
    <row r="77" spans="1:19" s="8" customFormat="1" ht="30" customHeight="1">
      <c r="A77" s="409" t="str">
        <f>ORÇAMENTO!B81</f>
        <v>5.4.11</v>
      </c>
      <c r="B77" s="410"/>
      <c r="C77" s="411">
        <v>5914389</v>
      </c>
      <c r="D77" s="412" t="s">
        <v>16</v>
      </c>
      <c r="E77" s="413"/>
      <c r="F77" s="413"/>
      <c r="G77" s="413"/>
      <c r="H77" s="413"/>
      <c r="I77" s="413"/>
      <c r="J77" s="413"/>
      <c r="K77" s="413"/>
      <c r="L77" s="414">
        <f>ROUND(SUBTOTAL(109,L80:L82),2)</f>
        <v>161266.28</v>
      </c>
      <c r="M77" s="59" t="s">
        <v>11</v>
      </c>
      <c r="N77" s="59" t="s">
        <v>11</v>
      </c>
      <c r="O77" s="59" t="s">
        <v>11</v>
      </c>
      <c r="P77" s="7"/>
      <c r="Q77" s="7"/>
      <c r="R77" s="7"/>
      <c r="S77" s="7"/>
    </row>
    <row r="78" spans="1:19" s="158" customFormat="1" ht="15" customHeight="1">
      <c r="A78" s="612" t="s">
        <v>357</v>
      </c>
      <c r="B78" s="612" t="s">
        <v>358</v>
      </c>
      <c r="C78" s="611" t="s">
        <v>361</v>
      </c>
      <c r="D78" s="612" t="s">
        <v>355</v>
      </c>
      <c r="E78" s="612" t="s">
        <v>2</v>
      </c>
      <c r="F78" s="612" t="s">
        <v>3</v>
      </c>
      <c r="G78" s="611" t="s">
        <v>362</v>
      </c>
      <c r="H78" s="612" t="s">
        <v>356</v>
      </c>
      <c r="I78" s="613" t="s">
        <v>374</v>
      </c>
      <c r="J78" s="611" t="s">
        <v>363</v>
      </c>
      <c r="K78" s="611" t="s">
        <v>364</v>
      </c>
      <c r="L78" s="611" t="s">
        <v>365</v>
      </c>
    </row>
    <row r="79" spans="1:19" s="158" customFormat="1">
      <c r="A79" s="612"/>
      <c r="B79" s="612"/>
      <c r="C79" s="611"/>
      <c r="D79" s="612"/>
      <c r="E79" s="612"/>
      <c r="F79" s="612"/>
      <c r="G79" s="611"/>
      <c r="H79" s="612"/>
      <c r="I79" s="614"/>
      <c r="J79" s="612"/>
      <c r="K79" s="612"/>
      <c r="L79" s="612"/>
    </row>
    <row r="80" spans="1:19" s="158" customFormat="1" ht="45" customHeight="1">
      <c r="A80" s="415" t="s">
        <v>368</v>
      </c>
      <c r="B80" s="415" t="s">
        <v>359</v>
      </c>
      <c r="C80" s="415">
        <v>1107928</v>
      </c>
      <c r="D80" s="418" t="s">
        <v>181</v>
      </c>
      <c r="E80" s="422">
        <f>MEMÓRIA!$L$201</f>
        <v>574.21</v>
      </c>
      <c r="F80" s="422" t="str">
        <f>MEMÓRIA!$M$201</f>
        <v>m³</v>
      </c>
      <c r="G80" s="424" t="s">
        <v>149</v>
      </c>
      <c r="H80" s="666" t="s">
        <v>150</v>
      </c>
      <c r="I80" s="425">
        <v>0.95638999999999996</v>
      </c>
      <c r="J80" s="425">
        <f>E80*I80</f>
        <v>549.16870189999997</v>
      </c>
      <c r="K80" s="437">
        <f>DMT!$AO$18</f>
        <v>136.4</v>
      </c>
      <c r="L80" s="425">
        <f>J80*K80</f>
        <v>74906.610939160004</v>
      </c>
      <c r="M80" s="93"/>
      <c r="N80" s="93"/>
      <c r="O80" s="93"/>
      <c r="P80" s="93"/>
    </row>
    <row r="81" spans="1:19" s="158" customFormat="1" ht="45" customHeight="1">
      <c r="A81" s="415" t="s">
        <v>368</v>
      </c>
      <c r="B81" s="415" t="s">
        <v>359</v>
      </c>
      <c r="C81" s="415">
        <v>1107928</v>
      </c>
      <c r="D81" s="418" t="s">
        <v>181</v>
      </c>
      <c r="E81" s="422">
        <f>MEMÓRIA!$L$201</f>
        <v>574.21</v>
      </c>
      <c r="F81" s="422" t="str">
        <f>MEMÓRIA!$M$201</f>
        <v>m³</v>
      </c>
      <c r="G81" s="424" t="s">
        <v>154</v>
      </c>
      <c r="H81" s="666" t="s">
        <v>155</v>
      </c>
      <c r="I81" s="425">
        <v>0.55130999999999997</v>
      </c>
      <c r="J81" s="425">
        <f>E81*I81</f>
        <v>316.56771509999999</v>
      </c>
      <c r="K81" s="437">
        <f>DMT!$AO$18</f>
        <v>136.4</v>
      </c>
      <c r="L81" s="425">
        <f>J81*K81</f>
        <v>43179.836339640002</v>
      </c>
      <c r="M81" s="93"/>
      <c r="N81" s="93"/>
      <c r="O81" s="93"/>
      <c r="P81" s="93"/>
    </row>
    <row r="82" spans="1:19" s="158" customFormat="1" ht="45" customHeight="1">
      <c r="A82" s="415" t="s">
        <v>368</v>
      </c>
      <c r="B82" s="415" t="s">
        <v>359</v>
      </c>
      <c r="C82" s="415">
        <v>1107928</v>
      </c>
      <c r="D82" s="418" t="s">
        <v>181</v>
      </c>
      <c r="E82" s="422">
        <f>MEMÓRIA!$L$201</f>
        <v>574.21</v>
      </c>
      <c r="F82" s="422" t="str">
        <f>MEMÓRIA!$M$201</f>
        <v>m³</v>
      </c>
      <c r="G82" s="424" t="s">
        <v>17</v>
      </c>
      <c r="H82" s="666" t="s">
        <v>18</v>
      </c>
      <c r="I82" s="425">
        <v>0.55130999999999997</v>
      </c>
      <c r="J82" s="425">
        <f>E82*I82</f>
        <v>316.56771509999999</v>
      </c>
      <c r="K82" s="437">
        <f>DMT!$AO$18</f>
        <v>136.4</v>
      </c>
      <c r="L82" s="425">
        <f>J82*K82</f>
        <v>43179.836339640002</v>
      </c>
      <c r="M82" s="93"/>
      <c r="N82" s="93"/>
      <c r="O82" s="93"/>
      <c r="P82" s="93"/>
    </row>
    <row r="83" spans="1:19" s="8" customFormat="1" ht="30" customHeight="1">
      <c r="A83" s="409" t="str">
        <f>ORÇAMENTO!B82</f>
        <v>5.4.12</v>
      </c>
      <c r="B83" s="410"/>
      <c r="C83" s="411">
        <v>5914569</v>
      </c>
      <c r="D83" s="412" t="s">
        <v>193</v>
      </c>
      <c r="E83" s="413"/>
      <c r="F83" s="413"/>
      <c r="G83" s="413"/>
      <c r="H83" s="413"/>
      <c r="I83" s="413"/>
      <c r="J83" s="413"/>
      <c r="K83" s="413"/>
      <c r="L83" s="414">
        <f>ROUND(SUBTOTAL(109,L86:L87),2)</f>
        <v>187973.39</v>
      </c>
      <c r="M83" s="59" t="s">
        <v>11</v>
      </c>
      <c r="N83" s="59" t="s">
        <v>11</v>
      </c>
      <c r="O83" s="59" t="s">
        <v>11</v>
      </c>
      <c r="P83" s="7"/>
      <c r="Q83" s="7"/>
      <c r="R83" s="7"/>
      <c r="S83" s="7"/>
    </row>
    <row r="84" spans="1:19" s="158" customFormat="1" ht="15" customHeight="1">
      <c r="A84" s="614" t="s">
        <v>357</v>
      </c>
      <c r="B84" s="614" t="s">
        <v>358</v>
      </c>
      <c r="C84" s="613" t="s">
        <v>361</v>
      </c>
      <c r="D84" s="614" t="s">
        <v>355</v>
      </c>
      <c r="E84" s="614" t="s">
        <v>2</v>
      </c>
      <c r="F84" s="614" t="s">
        <v>3</v>
      </c>
      <c r="G84" s="613" t="s">
        <v>362</v>
      </c>
      <c r="H84" s="614" t="s">
        <v>356</v>
      </c>
      <c r="I84" s="613" t="s">
        <v>374</v>
      </c>
      <c r="J84" s="613" t="s">
        <v>363</v>
      </c>
      <c r="K84" s="613" t="s">
        <v>364</v>
      </c>
      <c r="L84" s="613" t="s">
        <v>365</v>
      </c>
    </row>
    <row r="85" spans="1:19" s="158" customFormat="1">
      <c r="A85" s="614"/>
      <c r="B85" s="614"/>
      <c r="C85" s="613"/>
      <c r="D85" s="614"/>
      <c r="E85" s="614"/>
      <c r="F85" s="614"/>
      <c r="G85" s="613"/>
      <c r="H85" s="614"/>
      <c r="I85" s="614"/>
      <c r="J85" s="614"/>
      <c r="K85" s="614"/>
      <c r="L85" s="614"/>
    </row>
    <row r="86" spans="1:19" s="158" customFormat="1" ht="45" customHeight="1">
      <c r="A86" s="415" t="s">
        <v>368</v>
      </c>
      <c r="B86" s="415" t="s">
        <v>359</v>
      </c>
      <c r="C86" s="415">
        <v>1106050</v>
      </c>
      <c r="D86" s="418" t="s">
        <v>182</v>
      </c>
      <c r="E86" s="422">
        <f>MEMÓRIA!$L$206</f>
        <v>129.15</v>
      </c>
      <c r="F86" s="422" t="str">
        <f>MEMÓRIA!$M$206</f>
        <v>m³</v>
      </c>
      <c r="G86" s="424" t="s">
        <v>226</v>
      </c>
      <c r="H86" s="666" t="s">
        <v>180</v>
      </c>
      <c r="I86" s="425">
        <v>2.4</v>
      </c>
      <c r="J86" s="425">
        <f>E86*I86</f>
        <v>309.95999999999998</v>
      </c>
      <c r="K86" s="437">
        <f>DMT!$AO$18</f>
        <v>136.4</v>
      </c>
      <c r="L86" s="425">
        <f>J86*K86</f>
        <v>42278.544000000002</v>
      </c>
      <c r="M86" s="93"/>
      <c r="N86" s="93"/>
      <c r="O86" s="93"/>
      <c r="P86" s="93"/>
    </row>
    <row r="87" spans="1:19" s="158" customFormat="1" ht="45" customHeight="1">
      <c r="A87" s="415" t="s">
        <v>368</v>
      </c>
      <c r="B87" s="415" t="s">
        <v>359</v>
      </c>
      <c r="C87" s="415">
        <v>1106050</v>
      </c>
      <c r="D87" s="418" t="s">
        <v>182</v>
      </c>
      <c r="E87" s="422">
        <f>MEMÓRIA!$L$210</f>
        <v>445.06</v>
      </c>
      <c r="F87" s="422" t="str">
        <f>MEMÓRIA!$M$210</f>
        <v>m³</v>
      </c>
      <c r="G87" s="424" t="s">
        <v>226</v>
      </c>
      <c r="H87" s="666" t="s">
        <v>180</v>
      </c>
      <c r="I87" s="425">
        <v>2.4</v>
      </c>
      <c r="J87" s="425">
        <f>E87*I87</f>
        <v>1068.144</v>
      </c>
      <c r="K87" s="437">
        <f>DMT!$AO$18</f>
        <v>136.4</v>
      </c>
      <c r="L87" s="425">
        <f>J87*K87</f>
        <v>145694.84160000001</v>
      </c>
      <c r="M87" s="93"/>
      <c r="N87" s="93"/>
      <c r="O87" s="93"/>
      <c r="P87" s="93"/>
    </row>
    <row r="88" spans="1:19" s="158" customFormat="1">
      <c r="A88" s="404"/>
      <c r="B88" s="404"/>
      <c r="C88" s="404"/>
      <c r="D88" s="404"/>
      <c r="E88" s="404"/>
      <c r="F88" s="404"/>
      <c r="G88" s="404"/>
      <c r="H88" s="404"/>
      <c r="I88" s="404"/>
      <c r="J88" s="404"/>
      <c r="K88" s="404"/>
      <c r="L88" s="404"/>
    </row>
    <row r="89" spans="1:19">
      <c r="A89" s="405"/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</row>
    <row r="90" spans="1:19" s="158" customFormat="1">
      <c r="A90" s="440" t="str">
        <f>ORÇAMENTO!B89</f>
        <v>6.2</v>
      </c>
      <c r="B90" s="441" t="str">
        <f>INDEX(ORÇAMENTO!E:E,MATCH(A90,ORÇAMENTO!B:B,0))</f>
        <v>CAMADA DE BASE</v>
      </c>
      <c r="C90" s="442"/>
      <c r="D90" s="442"/>
      <c r="E90" s="442"/>
      <c r="F90" s="442"/>
      <c r="G90" s="442"/>
      <c r="H90" s="442"/>
      <c r="I90" s="442"/>
      <c r="J90" s="442"/>
      <c r="K90" s="442"/>
      <c r="L90" s="442"/>
    </row>
    <row r="91" spans="1:19" s="8" customFormat="1" ht="30" customHeight="1">
      <c r="A91" s="443" t="str">
        <f>ORÇAMENTO!B93</f>
        <v>6.2.3</v>
      </c>
      <c r="B91" s="444"/>
      <c r="C91" s="443">
        <v>5914359</v>
      </c>
      <c r="D91" s="445" t="s">
        <v>116</v>
      </c>
      <c r="E91" s="446"/>
      <c r="F91" s="446"/>
      <c r="G91" s="446"/>
      <c r="H91" s="446"/>
      <c r="I91" s="446"/>
      <c r="J91" s="446"/>
      <c r="K91" s="446"/>
      <c r="L91" s="447">
        <f>ROUND(SUBTOTAL(109,L94:L95),2)</f>
        <v>6388.81</v>
      </c>
      <c r="M91" s="59"/>
      <c r="N91" s="59" t="s">
        <v>11</v>
      </c>
      <c r="O91" s="59" t="s">
        <v>11</v>
      </c>
      <c r="P91" s="7"/>
      <c r="Q91" s="7"/>
      <c r="R91" s="7"/>
      <c r="S91" s="7"/>
    </row>
    <row r="92" spans="1:19" s="158" customFormat="1" ht="15" customHeight="1">
      <c r="A92" s="614" t="s">
        <v>357</v>
      </c>
      <c r="B92" s="614" t="s">
        <v>358</v>
      </c>
      <c r="C92" s="613" t="s">
        <v>361</v>
      </c>
      <c r="D92" s="614" t="s">
        <v>355</v>
      </c>
      <c r="E92" s="614" t="s">
        <v>2</v>
      </c>
      <c r="F92" s="614" t="s">
        <v>3</v>
      </c>
      <c r="G92" s="613" t="s">
        <v>362</v>
      </c>
      <c r="H92" s="614" t="s">
        <v>356</v>
      </c>
      <c r="I92" s="613" t="s">
        <v>374</v>
      </c>
      <c r="J92" s="613" t="s">
        <v>363</v>
      </c>
      <c r="K92" s="613" t="s">
        <v>364</v>
      </c>
      <c r="L92" s="613" t="s">
        <v>365</v>
      </c>
    </row>
    <row r="93" spans="1:19" s="158" customFormat="1">
      <c r="A93" s="614"/>
      <c r="B93" s="614"/>
      <c r="C93" s="613"/>
      <c r="D93" s="614"/>
      <c r="E93" s="614"/>
      <c r="F93" s="614"/>
      <c r="G93" s="613"/>
      <c r="H93" s="614"/>
      <c r="I93" s="614"/>
      <c r="J93" s="614"/>
      <c r="K93" s="614"/>
      <c r="L93" s="614"/>
    </row>
    <row r="94" spans="1:19" s="158" customFormat="1" ht="56.25">
      <c r="A94" s="416" t="s">
        <v>375</v>
      </c>
      <c r="B94" s="415" t="s">
        <v>359</v>
      </c>
      <c r="C94" s="415">
        <v>4011256</v>
      </c>
      <c r="D94" s="423" t="s">
        <v>187</v>
      </c>
      <c r="E94" s="433">
        <f>MEMÓRIA!$L$249</f>
        <v>1032.28</v>
      </c>
      <c r="F94" s="433" t="str">
        <f>MEMÓRIA!$M$249</f>
        <v>m³</v>
      </c>
      <c r="G94" s="434"/>
      <c r="H94" s="666" t="s">
        <v>396</v>
      </c>
      <c r="I94" s="425">
        <v>1.44411</v>
      </c>
      <c r="J94" s="435">
        <f>E94*I94</f>
        <v>1490.7258707999999</v>
      </c>
      <c r="K94" s="436">
        <f>DMT!$AO$16</f>
        <v>3</v>
      </c>
      <c r="L94" s="425">
        <f>J94*K94</f>
        <v>4472.1776123999998</v>
      </c>
      <c r="M94" s="93"/>
      <c r="N94" s="93"/>
      <c r="O94" s="93"/>
      <c r="P94" s="93"/>
    </row>
    <row r="95" spans="1:19" s="158" customFormat="1" ht="56.25">
      <c r="A95" s="416" t="s">
        <v>375</v>
      </c>
      <c r="B95" s="415" t="s">
        <v>359</v>
      </c>
      <c r="C95" s="415">
        <v>4011256</v>
      </c>
      <c r="D95" s="423" t="s">
        <v>187</v>
      </c>
      <c r="E95" s="433">
        <f>MEMÓRIA!$L$249</f>
        <v>1032.28</v>
      </c>
      <c r="F95" s="433" t="str">
        <f>MEMÓRIA!$M$249</f>
        <v>m³</v>
      </c>
      <c r="G95" s="434" t="s">
        <v>154</v>
      </c>
      <c r="H95" s="666" t="s">
        <v>155</v>
      </c>
      <c r="I95" s="425">
        <v>0.61890000000000001</v>
      </c>
      <c r="J95" s="435">
        <f>E95*I95</f>
        <v>638.87809200000004</v>
      </c>
      <c r="K95" s="436">
        <f>DMT!$AO$16</f>
        <v>3</v>
      </c>
      <c r="L95" s="425">
        <f>J95*K95</f>
        <v>1916.6342760000002</v>
      </c>
      <c r="M95" s="93"/>
      <c r="N95" s="93"/>
      <c r="O95" s="93"/>
      <c r="P95" s="93"/>
    </row>
    <row r="96" spans="1:19" s="8" customFormat="1" ht="30" customHeight="1">
      <c r="A96" s="443" t="str">
        <f>ORÇAMENTO!B94</f>
        <v>6.2.4</v>
      </c>
      <c r="B96" s="444"/>
      <c r="C96" s="443">
        <v>5914389</v>
      </c>
      <c r="D96" s="445" t="s">
        <v>16</v>
      </c>
      <c r="E96" s="446"/>
      <c r="F96" s="446"/>
      <c r="G96" s="446"/>
      <c r="H96" s="446"/>
      <c r="I96" s="446"/>
      <c r="J96" s="446"/>
      <c r="K96" s="446"/>
      <c r="L96" s="447">
        <f>ROUND(SUBTOTAL(109,L99:L99),2)</f>
        <v>30921.7</v>
      </c>
      <c r="M96" s="59"/>
      <c r="N96" s="59" t="s">
        <v>11</v>
      </c>
      <c r="O96" s="59" t="s">
        <v>11</v>
      </c>
      <c r="P96" s="7"/>
      <c r="Q96" s="7"/>
      <c r="R96" s="7"/>
      <c r="S96" s="7"/>
    </row>
    <row r="97" spans="1:19" s="158" customFormat="1" ht="15" customHeight="1">
      <c r="A97" s="612" t="s">
        <v>357</v>
      </c>
      <c r="B97" s="612" t="s">
        <v>358</v>
      </c>
      <c r="C97" s="611" t="s">
        <v>361</v>
      </c>
      <c r="D97" s="612" t="s">
        <v>355</v>
      </c>
      <c r="E97" s="612" t="s">
        <v>2</v>
      </c>
      <c r="F97" s="612" t="s">
        <v>3</v>
      </c>
      <c r="G97" s="611" t="s">
        <v>362</v>
      </c>
      <c r="H97" s="612" t="s">
        <v>356</v>
      </c>
      <c r="I97" s="613" t="s">
        <v>374</v>
      </c>
      <c r="J97" s="611" t="s">
        <v>363</v>
      </c>
      <c r="K97" s="611" t="s">
        <v>364</v>
      </c>
      <c r="L97" s="611" t="s">
        <v>365</v>
      </c>
    </row>
    <row r="98" spans="1:19" s="158" customFormat="1" ht="15" customHeight="1">
      <c r="A98" s="612"/>
      <c r="B98" s="612"/>
      <c r="C98" s="611"/>
      <c r="D98" s="612"/>
      <c r="E98" s="612"/>
      <c r="F98" s="612"/>
      <c r="G98" s="611"/>
      <c r="H98" s="612"/>
      <c r="I98" s="614"/>
      <c r="J98" s="612"/>
      <c r="K98" s="612"/>
      <c r="L98" s="612"/>
    </row>
    <row r="99" spans="1:19" s="158" customFormat="1" ht="56.25">
      <c r="A99" s="432" t="s">
        <v>369</v>
      </c>
      <c r="B99" s="415" t="s">
        <v>359</v>
      </c>
      <c r="C99" s="415">
        <v>4011256</v>
      </c>
      <c r="D99" s="423" t="s">
        <v>187</v>
      </c>
      <c r="E99" s="433">
        <f>MEMÓRIA!$L$249</f>
        <v>1032.28</v>
      </c>
      <c r="F99" s="433" t="str">
        <f>MEMÓRIA!$M$139</f>
        <v>m³</v>
      </c>
      <c r="G99" s="434" t="s">
        <v>154</v>
      </c>
      <c r="H99" s="666" t="s">
        <v>155</v>
      </c>
      <c r="I99" s="425">
        <v>0.61890000000000001</v>
      </c>
      <c r="J99" s="435">
        <f>E99*I99</f>
        <v>638.87809200000004</v>
      </c>
      <c r="K99" s="436">
        <f>DMT!$AO$17</f>
        <v>48.4</v>
      </c>
      <c r="L99" s="425">
        <f>J99*K99</f>
        <v>30921.699652800002</v>
      </c>
      <c r="M99" s="93"/>
      <c r="N99" s="93"/>
      <c r="O99" s="93"/>
      <c r="P99" s="93"/>
    </row>
    <row r="100" spans="1:19" s="158" customFormat="1">
      <c r="A100" s="405"/>
      <c r="B100" s="405"/>
      <c r="C100" s="405"/>
      <c r="D100" s="405"/>
      <c r="E100" s="405"/>
      <c r="F100" s="405"/>
      <c r="G100" s="405"/>
      <c r="H100" s="405"/>
      <c r="I100" s="405"/>
      <c r="J100" s="405"/>
      <c r="K100" s="405"/>
      <c r="L100" s="405"/>
    </row>
    <row r="101" spans="1:19" s="158" customFormat="1">
      <c r="A101" s="440" t="str">
        <f>ORÇAMENTO!B95</f>
        <v>6.3</v>
      </c>
      <c r="B101" s="441" t="str">
        <f>INDEX(ORÇAMENTO!E:E,MATCH(A101,ORÇAMENTO!B:B,0))</f>
        <v>PAVIMENTAÇÃO DA BERMA DE O&amp;M DO FOREBAY</v>
      </c>
      <c r="C101" s="442"/>
      <c r="D101" s="442"/>
      <c r="E101" s="442"/>
      <c r="F101" s="442"/>
      <c r="G101" s="442"/>
      <c r="H101" s="442"/>
      <c r="I101" s="442"/>
      <c r="J101" s="442"/>
      <c r="K101" s="442"/>
      <c r="L101" s="442"/>
    </row>
    <row r="102" spans="1:19" s="8" customFormat="1" ht="30" customHeight="1">
      <c r="A102" s="443" t="str">
        <f>ORÇAMENTO!B107</f>
        <v>6.3.4</v>
      </c>
      <c r="B102" s="444"/>
      <c r="C102" s="443">
        <v>5914359</v>
      </c>
      <c r="D102" s="445" t="s">
        <v>116</v>
      </c>
      <c r="E102" s="446"/>
      <c r="F102" s="446"/>
      <c r="G102" s="446"/>
      <c r="H102" s="446"/>
      <c r="I102" s="446"/>
      <c r="J102" s="446"/>
      <c r="K102" s="446"/>
      <c r="L102" s="447">
        <f>ROUND(SUBTOTAL(109,L105:L109),2)</f>
        <v>927.21</v>
      </c>
      <c r="M102" s="59"/>
      <c r="N102" s="59" t="s">
        <v>11</v>
      </c>
      <c r="O102" s="59" t="s">
        <v>11</v>
      </c>
      <c r="P102" s="7"/>
      <c r="Q102" s="7"/>
      <c r="R102" s="7"/>
      <c r="S102" s="7"/>
    </row>
    <row r="103" spans="1:19" s="158" customFormat="1" ht="15" customHeight="1">
      <c r="A103" s="616" t="s">
        <v>357</v>
      </c>
      <c r="B103" s="616" t="s">
        <v>358</v>
      </c>
      <c r="C103" s="615" t="s">
        <v>361</v>
      </c>
      <c r="D103" s="616" t="s">
        <v>355</v>
      </c>
      <c r="E103" s="616" t="s">
        <v>2</v>
      </c>
      <c r="F103" s="616" t="s">
        <v>3</v>
      </c>
      <c r="G103" s="615" t="s">
        <v>362</v>
      </c>
      <c r="H103" s="616" t="s">
        <v>356</v>
      </c>
      <c r="I103" s="613" t="s">
        <v>374</v>
      </c>
      <c r="J103" s="615" t="s">
        <v>363</v>
      </c>
      <c r="K103" s="615" t="s">
        <v>364</v>
      </c>
      <c r="L103" s="615" t="s">
        <v>365</v>
      </c>
    </row>
    <row r="104" spans="1:19" s="158" customFormat="1">
      <c r="A104" s="616"/>
      <c r="B104" s="616"/>
      <c r="C104" s="615"/>
      <c r="D104" s="616"/>
      <c r="E104" s="616"/>
      <c r="F104" s="616"/>
      <c r="G104" s="615"/>
      <c r="H104" s="616"/>
      <c r="I104" s="614"/>
      <c r="J104" s="616"/>
      <c r="K104" s="616"/>
      <c r="L104" s="616"/>
    </row>
    <row r="105" spans="1:19" s="158" customFormat="1" ht="22.5">
      <c r="A105" s="416" t="s">
        <v>375</v>
      </c>
      <c r="B105" s="415" t="s">
        <v>359</v>
      </c>
      <c r="C105" s="415">
        <v>4011463</v>
      </c>
      <c r="D105" s="423" t="s">
        <v>188</v>
      </c>
      <c r="E105" s="433">
        <f>MEMÓRIA!$L$262</f>
        <v>323.45999999999998</v>
      </c>
      <c r="F105" s="433" t="str">
        <f>MEMÓRIA!$M$262</f>
        <v>t</v>
      </c>
      <c r="G105" s="434" t="s">
        <v>199</v>
      </c>
      <c r="H105" s="666" t="s">
        <v>200</v>
      </c>
      <c r="I105" s="425">
        <v>0.4968726</v>
      </c>
      <c r="J105" s="435">
        <f>E105*I105</f>
        <v>160.71841119599998</v>
      </c>
      <c r="K105" s="436">
        <f>DMT!$AO$16</f>
        <v>3</v>
      </c>
      <c r="L105" s="425">
        <f>J105*K105</f>
        <v>482.15523358799993</v>
      </c>
      <c r="M105" s="93"/>
      <c r="N105" s="93"/>
      <c r="O105" s="93"/>
      <c r="P105" s="93"/>
    </row>
    <row r="106" spans="1:19" s="158" customFormat="1" ht="22.5">
      <c r="A106" s="416" t="s">
        <v>375</v>
      </c>
      <c r="B106" s="415" t="s">
        <v>359</v>
      </c>
      <c r="C106" s="415">
        <v>4011463</v>
      </c>
      <c r="D106" s="423" t="s">
        <v>188</v>
      </c>
      <c r="E106" s="433">
        <f>MEMÓRIA!$L$262</f>
        <v>323.45999999999998</v>
      </c>
      <c r="F106" s="433" t="str">
        <f>MEMÓRIA!$M$262</f>
        <v>t</v>
      </c>
      <c r="G106" s="434" t="s">
        <v>195</v>
      </c>
      <c r="H106" s="666" t="s">
        <v>196</v>
      </c>
      <c r="I106" s="425">
        <v>9.5553600000000002E-2</v>
      </c>
      <c r="J106" s="435">
        <f>E106*I106</f>
        <v>30.907767455999998</v>
      </c>
      <c r="K106" s="436">
        <f>DMT!$AO$16</f>
        <v>3</v>
      </c>
      <c r="L106" s="425">
        <f>J106*K106</f>
        <v>92.723302367999992</v>
      </c>
      <c r="M106" s="93"/>
      <c r="N106" s="93"/>
      <c r="O106" s="93"/>
      <c r="P106" s="93"/>
    </row>
    <row r="107" spans="1:19" s="158" customFormat="1" ht="22.5">
      <c r="A107" s="416" t="s">
        <v>375</v>
      </c>
      <c r="B107" s="415" t="s">
        <v>359</v>
      </c>
      <c r="C107" s="415">
        <v>4011463</v>
      </c>
      <c r="D107" s="423" t="s">
        <v>188</v>
      </c>
      <c r="E107" s="433">
        <f>MEMÓRIA!$L$262</f>
        <v>323.45999999999998</v>
      </c>
      <c r="F107" s="433" t="str">
        <f>MEMÓRIA!$M$262</f>
        <v>t</v>
      </c>
      <c r="G107" s="434" t="s">
        <v>154</v>
      </c>
      <c r="H107" s="666" t="s">
        <v>155</v>
      </c>
      <c r="I107" s="425">
        <v>9.5553600000000002E-2</v>
      </c>
      <c r="J107" s="435">
        <f>E107*I107</f>
        <v>30.907767455999998</v>
      </c>
      <c r="K107" s="436">
        <f>DMT!$AO$16</f>
        <v>3</v>
      </c>
      <c r="L107" s="425">
        <f>J107*K107</f>
        <v>92.723302367999992</v>
      </c>
      <c r="M107" s="93"/>
      <c r="N107" s="93"/>
      <c r="O107" s="93"/>
      <c r="P107" s="93"/>
    </row>
    <row r="108" spans="1:19" s="158" customFormat="1" ht="22.5">
      <c r="A108" s="416" t="s">
        <v>375</v>
      </c>
      <c r="B108" s="415" t="s">
        <v>359</v>
      </c>
      <c r="C108" s="415">
        <v>4011463</v>
      </c>
      <c r="D108" s="423" t="s">
        <v>188</v>
      </c>
      <c r="E108" s="433">
        <f>MEMÓRIA!$L$262</f>
        <v>323.45999999999998</v>
      </c>
      <c r="F108" s="433" t="str">
        <f>MEMÓRIA!$M$262</f>
        <v>t</v>
      </c>
      <c r="G108" s="434" t="s">
        <v>208</v>
      </c>
      <c r="H108" s="666" t="s">
        <v>209</v>
      </c>
      <c r="I108" s="425">
        <v>5.7324E-2</v>
      </c>
      <c r="J108" s="435">
        <f>E108*I108</f>
        <v>18.542021039999998</v>
      </c>
      <c r="K108" s="436">
        <f>DMT!$AO$16</f>
        <v>3</v>
      </c>
      <c r="L108" s="425">
        <f>J108*K108</f>
        <v>55.626063119999998</v>
      </c>
      <c r="M108" s="93"/>
      <c r="N108" s="93"/>
      <c r="O108" s="93"/>
      <c r="P108" s="93"/>
    </row>
    <row r="109" spans="1:19" s="158" customFormat="1" ht="22.5">
      <c r="A109" s="416" t="s">
        <v>375</v>
      </c>
      <c r="B109" s="415" t="s">
        <v>359</v>
      </c>
      <c r="C109" s="415">
        <v>4011463</v>
      </c>
      <c r="D109" s="423" t="s">
        <v>188</v>
      </c>
      <c r="E109" s="433">
        <f>MEMÓRIA!$L$262</f>
        <v>323.45999999999998</v>
      </c>
      <c r="F109" s="433" t="str">
        <f>MEMÓRIA!$M$262</f>
        <v>t</v>
      </c>
      <c r="G109" s="434" t="s">
        <v>214</v>
      </c>
      <c r="H109" s="666" t="s">
        <v>215</v>
      </c>
      <c r="I109" s="425">
        <v>0.2102118</v>
      </c>
      <c r="J109" s="435">
        <f>E109*I109</f>
        <v>67.995108827999999</v>
      </c>
      <c r="K109" s="436">
        <f>DMT!$AO$16</f>
        <v>3</v>
      </c>
      <c r="L109" s="425">
        <f>J109*K109</f>
        <v>203.98532648399998</v>
      </c>
      <c r="M109" s="93"/>
      <c r="N109" s="93"/>
      <c r="O109" s="93"/>
      <c r="P109" s="93"/>
    </row>
    <row r="110" spans="1:19" s="8" customFormat="1" ht="30" customHeight="1">
      <c r="A110" s="443" t="str">
        <f>ORÇAMENTO!B108</f>
        <v>6.3.5</v>
      </c>
      <c r="B110" s="444"/>
      <c r="C110" s="443">
        <v>5914389</v>
      </c>
      <c r="D110" s="445" t="s">
        <v>16</v>
      </c>
      <c r="E110" s="446"/>
      <c r="F110" s="446"/>
      <c r="G110" s="446"/>
      <c r="H110" s="446"/>
      <c r="I110" s="446"/>
      <c r="J110" s="446"/>
      <c r="K110" s="446"/>
      <c r="L110" s="447">
        <f>ROUND(SUBTOTAL(109,L113:L117),2)</f>
        <v>42157.29</v>
      </c>
      <c r="M110" s="59"/>
      <c r="N110" s="59" t="s">
        <v>11</v>
      </c>
      <c r="O110" s="59" t="s">
        <v>11</v>
      </c>
      <c r="P110" s="7"/>
      <c r="Q110" s="7"/>
      <c r="R110" s="7"/>
      <c r="S110" s="7"/>
    </row>
    <row r="111" spans="1:19" s="158" customFormat="1" ht="15" customHeight="1">
      <c r="A111" s="612" t="s">
        <v>357</v>
      </c>
      <c r="B111" s="612" t="s">
        <v>358</v>
      </c>
      <c r="C111" s="611" t="s">
        <v>361</v>
      </c>
      <c r="D111" s="612" t="s">
        <v>355</v>
      </c>
      <c r="E111" s="612" t="s">
        <v>2</v>
      </c>
      <c r="F111" s="612" t="s">
        <v>3</v>
      </c>
      <c r="G111" s="611" t="s">
        <v>362</v>
      </c>
      <c r="H111" s="612" t="s">
        <v>356</v>
      </c>
      <c r="I111" s="613" t="s">
        <v>374</v>
      </c>
      <c r="J111" s="611" t="s">
        <v>363</v>
      </c>
      <c r="K111" s="611" t="s">
        <v>364</v>
      </c>
      <c r="L111" s="611" t="s">
        <v>365</v>
      </c>
    </row>
    <row r="112" spans="1:19" s="158" customFormat="1">
      <c r="A112" s="612"/>
      <c r="B112" s="612"/>
      <c r="C112" s="611"/>
      <c r="D112" s="612"/>
      <c r="E112" s="612"/>
      <c r="F112" s="612"/>
      <c r="G112" s="611"/>
      <c r="H112" s="612"/>
      <c r="I112" s="614"/>
      <c r="J112" s="612"/>
      <c r="K112" s="612"/>
      <c r="L112" s="612"/>
    </row>
    <row r="113" spans="1:19" s="158" customFormat="1" ht="22.5">
      <c r="A113" s="415" t="s">
        <v>368</v>
      </c>
      <c r="B113" s="415" t="s">
        <v>359</v>
      </c>
      <c r="C113" s="415">
        <v>4011463</v>
      </c>
      <c r="D113" s="423" t="s">
        <v>188</v>
      </c>
      <c r="E113" s="433">
        <f>MEMÓRIA!$L$262</f>
        <v>323.45999999999998</v>
      </c>
      <c r="F113" s="433" t="str">
        <f>MEMÓRIA!$M$262</f>
        <v>t</v>
      </c>
      <c r="G113" s="434" t="s">
        <v>199</v>
      </c>
      <c r="H113" s="666" t="s">
        <v>200</v>
      </c>
      <c r="I113" s="425">
        <v>0.4968726</v>
      </c>
      <c r="J113" s="435">
        <f>E113*I113</f>
        <v>160.71841119599998</v>
      </c>
      <c r="K113" s="436">
        <f>DMT!$AO$18</f>
        <v>136.4</v>
      </c>
      <c r="L113" s="425">
        <f>J113*K113</f>
        <v>21921.991287134399</v>
      </c>
      <c r="M113" s="93"/>
      <c r="N113" s="93"/>
      <c r="O113" s="93"/>
      <c r="P113" s="93"/>
    </row>
    <row r="114" spans="1:19" s="158" customFormat="1" ht="22.5">
      <c r="A114" s="415" t="s">
        <v>368</v>
      </c>
      <c r="B114" s="415" t="s">
        <v>359</v>
      </c>
      <c r="C114" s="415">
        <v>4011463</v>
      </c>
      <c r="D114" s="423" t="s">
        <v>188</v>
      </c>
      <c r="E114" s="433">
        <f>MEMÓRIA!$L$262</f>
        <v>323.45999999999998</v>
      </c>
      <c r="F114" s="433" t="str">
        <f>MEMÓRIA!$M$262</f>
        <v>t</v>
      </c>
      <c r="G114" s="434" t="s">
        <v>195</v>
      </c>
      <c r="H114" s="666" t="s">
        <v>196</v>
      </c>
      <c r="I114" s="425">
        <v>9.5553600000000002E-2</v>
      </c>
      <c r="J114" s="435">
        <f>E114*I114</f>
        <v>30.907767455999998</v>
      </c>
      <c r="K114" s="436">
        <f>DMT!$AO$18</f>
        <v>136.4</v>
      </c>
      <c r="L114" s="425">
        <f>J114*K114</f>
        <v>4215.8194809983997</v>
      </c>
      <c r="M114" s="93"/>
      <c r="N114" s="93"/>
      <c r="O114" s="93"/>
      <c r="P114" s="93"/>
    </row>
    <row r="115" spans="1:19" s="158" customFormat="1" ht="22.5">
      <c r="A115" s="415" t="s">
        <v>368</v>
      </c>
      <c r="B115" s="415" t="s">
        <v>359</v>
      </c>
      <c r="C115" s="415">
        <v>4011463</v>
      </c>
      <c r="D115" s="423" t="s">
        <v>188</v>
      </c>
      <c r="E115" s="433">
        <f>MEMÓRIA!$L$262</f>
        <v>323.45999999999998</v>
      </c>
      <c r="F115" s="433" t="str">
        <f>MEMÓRIA!$M$262</f>
        <v>t</v>
      </c>
      <c r="G115" s="434" t="s">
        <v>154</v>
      </c>
      <c r="H115" s="666" t="s">
        <v>155</v>
      </c>
      <c r="I115" s="425">
        <v>9.5553600000000002E-2</v>
      </c>
      <c r="J115" s="435">
        <f>E115*I115</f>
        <v>30.907767455999998</v>
      </c>
      <c r="K115" s="436">
        <f>DMT!$AO$18</f>
        <v>136.4</v>
      </c>
      <c r="L115" s="425">
        <f>J115*K115</f>
        <v>4215.8194809983997</v>
      </c>
      <c r="M115" s="93"/>
      <c r="N115" s="93"/>
      <c r="O115" s="93"/>
      <c r="P115" s="93"/>
    </row>
    <row r="116" spans="1:19" s="158" customFormat="1" ht="22.5">
      <c r="A116" s="415" t="s">
        <v>368</v>
      </c>
      <c r="B116" s="415" t="s">
        <v>359</v>
      </c>
      <c r="C116" s="415">
        <v>4011463</v>
      </c>
      <c r="D116" s="423" t="s">
        <v>188</v>
      </c>
      <c r="E116" s="433">
        <f>MEMÓRIA!$L$262</f>
        <v>323.45999999999998</v>
      </c>
      <c r="F116" s="433" t="str">
        <f>MEMÓRIA!$M$262</f>
        <v>t</v>
      </c>
      <c r="G116" s="434" t="s">
        <v>208</v>
      </c>
      <c r="H116" s="666" t="s">
        <v>209</v>
      </c>
      <c r="I116" s="425">
        <v>5.7324E-2</v>
      </c>
      <c r="J116" s="435">
        <f>E116*I116</f>
        <v>18.542021039999998</v>
      </c>
      <c r="K116" s="436">
        <f>DMT!$AO$18</f>
        <v>136.4</v>
      </c>
      <c r="L116" s="425">
        <f>J116*K116</f>
        <v>2529.1316698559999</v>
      </c>
      <c r="M116" s="93"/>
      <c r="N116" s="93"/>
      <c r="O116" s="93"/>
      <c r="P116" s="93"/>
    </row>
    <row r="117" spans="1:19" s="158" customFormat="1" ht="22.5">
      <c r="A117" s="415" t="s">
        <v>368</v>
      </c>
      <c r="B117" s="415" t="s">
        <v>359</v>
      </c>
      <c r="C117" s="415">
        <v>4011463</v>
      </c>
      <c r="D117" s="423" t="s">
        <v>188</v>
      </c>
      <c r="E117" s="433">
        <f>MEMÓRIA!$L$262</f>
        <v>323.45999999999998</v>
      </c>
      <c r="F117" s="433" t="str">
        <f>MEMÓRIA!$M$262</f>
        <v>t</v>
      </c>
      <c r="G117" s="434" t="s">
        <v>214</v>
      </c>
      <c r="H117" s="666" t="s">
        <v>215</v>
      </c>
      <c r="I117" s="425">
        <v>0.2102118</v>
      </c>
      <c r="J117" s="435">
        <f>E117*I117</f>
        <v>67.995108827999999</v>
      </c>
      <c r="K117" s="436">
        <f>DMT!$AO$18</f>
        <v>136.4</v>
      </c>
      <c r="L117" s="425">
        <f>J117*K117</f>
        <v>9274.5328441392012</v>
      </c>
      <c r="M117" s="93"/>
      <c r="N117" s="93"/>
      <c r="O117" s="93"/>
      <c r="P117" s="93"/>
    </row>
    <row r="118" spans="1:19" s="158" customFormat="1">
      <c r="A118" s="405"/>
      <c r="B118" s="405"/>
      <c r="C118" s="405"/>
      <c r="D118" s="405"/>
      <c r="E118" s="405"/>
      <c r="F118" s="405"/>
      <c r="G118" s="405"/>
      <c r="H118" s="405"/>
      <c r="I118" s="405"/>
      <c r="J118" s="405"/>
      <c r="K118" s="405"/>
      <c r="L118" s="405"/>
    </row>
    <row r="119" spans="1:19" s="158" customFormat="1">
      <c r="A119" s="440" t="str">
        <f>ORÇAMENTO!B123</f>
        <v>7.1</v>
      </c>
      <c r="B119" s="441" t="str">
        <f>INDEX(ORÇAMENTO!E:E,MATCH(A119,ORÇAMENTO!B:B,0))</f>
        <v>MEIO-FIO DE CONCRETO - MFC 03 
- AREIA E BRITA  COMERCIAL</v>
      </c>
      <c r="C119" s="442"/>
      <c r="D119" s="442"/>
      <c r="E119" s="442"/>
      <c r="F119" s="442"/>
      <c r="G119" s="442"/>
      <c r="H119" s="442"/>
      <c r="I119" s="442"/>
      <c r="J119" s="442"/>
      <c r="K119" s="442"/>
      <c r="L119" s="442"/>
    </row>
    <row r="120" spans="1:19" s="8" customFormat="1" ht="30" customHeight="1">
      <c r="A120" s="443" t="str">
        <f>ORÇAMENTO!B138</f>
        <v>7.1.5</v>
      </c>
      <c r="B120" s="444"/>
      <c r="C120" s="443">
        <v>5914449</v>
      </c>
      <c r="D120" s="445" t="s">
        <v>118</v>
      </c>
      <c r="E120" s="446"/>
      <c r="F120" s="446"/>
      <c r="G120" s="446"/>
      <c r="H120" s="446"/>
      <c r="I120" s="446"/>
      <c r="J120" s="446"/>
      <c r="K120" s="446"/>
      <c r="L120" s="447">
        <f>ROUND(SUBTOTAL(109,L123:L129),2)</f>
        <v>29.16</v>
      </c>
      <c r="M120" s="59"/>
      <c r="N120" s="59" t="s">
        <v>11</v>
      </c>
      <c r="O120" s="59" t="s">
        <v>11</v>
      </c>
      <c r="P120" s="7"/>
      <c r="Q120" s="7"/>
      <c r="R120" s="7"/>
      <c r="S120" s="7"/>
    </row>
    <row r="121" spans="1:19" s="158" customFormat="1" ht="15" customHeight="1">
      <c r="A121" s="616" t="s">
        <v>357</v>
      </c>
      <c r="B121" s="616" t="s">
        <v>358</v>
      </c>
      <c r="C121" s="615" t="s">
        <v>361</v>
      </c>
      <c r="D121" s="616" t="s">
        <v>355</v>
      </c>
      <c r="E121" s="616" t="s">
        <v>2</v>
      </c>
      <c r="F121" s="616" t="s">
        <v>3</v>
      </c>
      <c r="G121" s="615" t="s">
        <v>362</v>
      </c>
      <c r="H121" s="616" t="s">
        <v>356</v>
      </c>
      <c r="I121" s="613" t="s">
        <v>374</v>
      </c>
      <c r="J121" s="615" t="s">
        <v>363</v>
      </c>
      <c r="K121" s="615" t="s">
        <v>364</v>
      </c>
      <c r="L121" s="615" t="s">
        <v>365</v>
      </c>
    </row>
    <row r="122" spans="1:19" s="158" customFormat="1">
      <c r="A122" s="616"/>
      <c r="B122" s="616"/>
      <c r="C122" s="615"/>
      <c r="D122" s="616"/>
      <c r="E122" s="616"/>
      <c r="F122" s="616"/>
      <c r="G122" s="615"/>
      <c r="H122" s="616"/>
      <c r="I122" s="614"/>
      <c r="J122" s="616"/>
      <c r="K122" s="616"/>
      <c r="L122" s="616"/>
    </row>
    <row r="123" spans="1:19" s="158" customFormat="1" ht="33.75">
      <c r="A123" s="415" t="s">
        <v>375</v>
      </c>
      <c r="B123" s="415" t="s">
        <v>359</v>
      </c>
      <c r="C123" s="415">
        <v>1107892</v>
      </c>
      <c r="D123" s="423" t="s">
        <v>151</v>
      </c>
      <c r="E123" s="433">
        <f>MEMÓRIA!$L$307</f>
        <v>506.98</v>
      </c>
      <c r="F123" s="433" t="str">
        <f>MEMÓRIA!$M$307</f>
        <v>m</v>
      </c>
      <c r="G123" s="434" t="s">
        <v>152</v>
      </c>
      <c r="H123" s="666" t="s">
        <v>153</v>
      </c>
      <c r="I123" s="425">
        <v>3.57E-5</v>
      </c>
      <c r="J123" s="435">
        <f t="shared" ref="J123:J129" si="4">E123*I123</f>
        <v>1.8099186E-2</v>
      </c>
      <c r="K123" s="436">
        <f>DMT!$AO$16</f>
        <v>3</v>
      </c>
      <c r="L123" s="425">
        <f t="shared" ref="L123:L129" si="5">J123*K123</f>
        <v>5.4297557999999996E-2</v>
      </c>
      <c r="M123" s="93"/>
      <c r="N123" s="93"/>
      <c r="O123" s="93"/>
      <c r="P123" s="93"/>
    </row>
    <row r="124" spans="1:19" s="158" customFormat="1" ht="33.75">
      <c r="A124" s="415" t="s">
        <v>375</v>
      </c>
      <c r="B124" s="415" t="s">
        <v>359</v>
      </c>
      <c r="C124" s="415">
        <v>1107892</v>
      </c>
      <c r="D124" s="423" t="s">
        <v>151</v>
      </c>
      <c r="E124" s="433">
        <f>MEMÓRIA!$L$307</f>
        <v>506.98</v>
      </c>
      <c r="F124" s="433" t="str">
        <f>MEMÓRIA!$M$307</f>
        <v>m</v>
      </c>
      <c r="G124" s="434" t="s">
        <v>156</v>
      </c>
      <c r="H124" s="666" t="s">
        <v>210</v>
      </c>
      <c r="I124" s="425">
        <v>1.1850300000000001E-2</v>
      </c>
      <c r="J124" s="435">
        <f t="shared" si="4"/>
        <v>6.0078650940000005</v>
      </c>
      <c r="K124" s="436">
        <f>DMT!$AO$16</f>
        <v>3</v>
      </c>
      <c r="L124" s="425">
        <f t="shared" si="5"/>
        <v>18.023595282000002</v>
      </c>
      <c r="M124" s="93"/>
      <c r="N124" s="93"/>
      <c r="O124" s="93"/>
      <c r="P124" s="93"/>
    </row>
    <row r="125" spans="1:19" s="158" customFormat="1" ht="45">
      <c r="A125" s="415" t="s">
        <v>375</v>
      </c>
      <c r="B125" s="415" t="s">
        <v>359</v>
      </c>
      <c r="C125" s="415">
        <v>2003842</v>
      </c>
      <c r="D125" s="423" t="s">
        <v>184</v>
      </c>
      <c r="E125" s="433">
        <f>MEMÓRIA!$L$307</f>
        <v>506.98</v>
      </c>
      <c r="F125" s="433" t="str">
        <f>MEMÓRIA!$M$307</f>
        <v>m</v>
      </c>
      <c r="G125" s="434" t="s">
        <v>224</v>
      </c>
      <c r="H125" s="666" t="s">
        <v>225</v>
      </c>
      <c r="I125" s="425">
        <v>5.9499999999999996E-5</v>
      </c>
      <c r="J125" s="435">
        <f t="shared" si="4"/>
        <v>3.0165310000000001E-2</v>
      </c>
      <c r="K125" s="436">
        <f>DMT!$AO$16</f>
        <v>3</v>
      </c>
      <c r="L125" s="425">
        <f t="shared" si="5"/>
        <v>9.0495930000000002E-2</v>
      </c>
      <c r="M125" s="93"/>
      <c r="N125" s="93"/>
      <c r="O125" s="93"/>
      <c r="P125" s="93"/>
    </row>
    <row r="126" spans="1:19" s="158" customFormat="1" ht="45">
      <c r="A126" s="415" t="s">
        <v>375</v>
      </c>
      <c r="B126" s="415" t="s">
        <v>359</v>
      </c>
      <c r="C126" s="415">
        <v>3103302</v>
      </c>
      <c r="D126" s="423" t="s">
        <v>254</v>
      </c>
      <c r="E126" s="433">
        <f>MEMÓRIA!$L$307</f>
        <v>506.98</v>
      </c>
      <c r="F126" s="433" t="str">
        <f>MEMÓRIA!$M$307</f>
        <v>m</v>
      </c>
      <c r="G126" s="434" t="s">
        <v>211</v>
      </c>
      <c r="H126" s="666" t="s">
        <v>249</v>
      </c>
      <c r="I126" s="425">
        <v>1.095E-5</v>
      </c>
      <c r="J126" s="435">
        <f t="shared" si="4"/>
        <v>5.5514309999999999E-3</v>
      </c>
      <c r="K126" s="436">
        <f>DMT!$AO$16</f>
        <v>3</v>
      </c>
      <c r="L126" s="425">
        <f t="shared" si="5"/>
        <v>1.6654293000000001E-2</v>
      </c>
      <c r="M126" s="93"/>
      <c r="N126" s="93"/>
      <c r="O126" s="93"/>
      <c r="P126" s="93"/>
    </row>
    <row r="127" spans="1:19" s="158" customFormat="1" ht="45">
      <c r="A127" s="415" t="s">
        <v>375</v>
      </c>
      <c r="B127" s="415" t="s">
        <v>359</v>
      </c>
      <c r="C127" s="415">
        <v>3103302</v>
      </c>
      <c r="D127" s="423" t="s">
        <v>254</v>
      </c>
      <c r="E127" s="433">
        <f>MEMÓRIA!$L$307</f>
        <v>506.98</v>
      </c>
      <c r="F127" s="433" t="str">
        <f>MEMÓRIA!$M$307</f>
        <v>m</v>
      </c>
      <c r="G127" s="434" t="s">
        <v>216</v>
      </c>
      <c r="H127" s="666" t="s">
        <v>217</v>
      </c>
      <c r="I127" s="425">
        <v>1.6424999999999999E-5</v>
      </c>
      <c r="J127" s="435">
        <f t="shared" si="4"/>
        <v>8.3271465000000003E-3</v>
      </c>
      <c r="K127" s="436">
        <f>DMT!$AO$16</f>
        <v>3</v>
      </c>
      <c r="L127" s="425">
        <f t="shared" si="5"/>
        <v>2.4981439500000001E-2</v>
      </c>
      <c r="M127" s="93"/>
      <c r="N127" s="93"/>
      <c r="O127" s="93"/>
      <c r="P127" s="93"/>
    </row>
    <row r="128" spans="1:19" s="158" customFormat="1" ht="45">
      <c r="A128" s="415" t="s">
        <v>375</v>
      </c>
      <c r="B128" s="415" t="s">
        <v>359</v>
      </c>
      <c r="C128" s="415">
        <v>3103302</v>
      </c>
      <c r="D128" s="423" t="s">
        <v>254</v>
      </c>
      <c r="E128" s="433">
        <f>MEMÓRIA!$L$307</f>
        <v>506.98</v>
      </c>
      <c r="F128" s="433" t="str">
        <f>MEMÓRIA!$M$307</f>
        <v>m</v>
      </c>
      <c r="G128" s="434" t="s">
        <v>207</v>
      </c>
      <c r="H128" s="666" t="s">
        <v>248</v>
      </c>
      <c r="I128" s="425">
        <v>1.6644000000000001E-3</v>
      </c>
      <c r="J128" s="435">
        <f t="shared" si="4"/>
        <v>0.8438175120000001</v>
      </c>
      <c r="K128" s="436">
        <f>DMT!$AO$16</f>
        <v>3</v>
      </c>
      <c r="L128" s="425">
        <f t="shared" si="5"/>
        <v>2.5314525360000002</v>
      </c>
      <c r="M128" s="93"/>
      <c r="N128" s="93"/>
      <c r="O128" s="93"/>
      <c r="P128" s="93"/>
    </row>
    <row r="129" spans="1:19" s="158" customFormat="1" ht="45">
      <c r="A129" s="415" t="s">
        <v>375</v>
      </c>
      <c r="B129" s="415" t="s">
        <v>359</v>
      </c>
      <c r="C129" s="415">
        <v>3103302</v>
      </c>
      <c r="D129" s="423" t="s">
        <v>254</v>
      </c>
      <c r="E129" s="433">
        <f>MEMÓRIA!$L$307</f>
        <v>506.98</v>
      </c>
      <c r="F129" s="433" t="str">
        <f>MEMÓRIA!$M$307</f>
        <v>m</v>
      </c>
      <c r="G129" s="434" t="s">
        <v>218</v>
      </c>
      <c r="H129" s="666" t="s">
        <v>219</v>
      </c>
      <c r="I129" s="425">
        <v>5.5352249999999995E-3</v>
      </c>
      <c r="J129" s="435">
        <f t="shared" si="4"/>
        <v>2.8062483704999996</v>
      </c>
      <c r="K129" s="436">
        <f>DMT!$AO$16</f>
        <v>3</v>
      </c>
      <c r="L129" s="425">
        <f t="shared" si="5"/>
        <v>8.418745111499998</v>
      </c>
      <c r="M129" s="93"/>
      <c r="N129" s="93"/>
      <c r="O129" s="93"/>
      <c r="P129" s="93"/>
    </row>
    <row r="130" spans="1:19" s="8" customFormat="1" ht="30" customHeight="1">
      <c r="A130" s="443" t="str">
        <f>ORÇAMENTO!B139</f>
        <v>7.1.6</v>
      </c>
      <c r="B130" s="444"/>
      <c r="C130" s="443">
        <v>5914359</v>
      </c>
      <c r="D130" s="445" t="s">
        <v>116</v>
      </c>
      <c r="E130" s="446"/>
      <c r="F130" s="446"/>
      <c r="G130" s="446"/>
      <c r="H130" s="446"/>
      <c r="I130" s="446"/>
      <c r="J130" s="446"/>
      <c r="K130" s="446"/>
      <c r="L130" s="447">
        <f>ROUND(SUBTOTAL(109,L133:L135),2)</f>
        <v>131.12</v>
      </c>
      <c r="M130" s="59"/>
      <c r="N130" s="59" t="s">
        <v>11</v>
      </c>
      <c r="O130" s="59" t="s">
        <v>11</v>
      </c>
      <c r="P130" s="7"/>
      <c r="Q130" s="7"/>
      <c r="R130" s="7"/>
      <c r="S130" s="7"/>
    </row>
    <row r="131" spans="1:19" s="158" customFormat="1" ht="15" customHeight="1">
      <c r="A131" s="614" t="s">
        <v>357</v>
      </c>
      <c r="B131" s="614" t="s">
        <v>358</v>
      </c>
      <c r="C131" s="613" t="s">
        <v>361</v>
      </c>
      <c r="D131" s="614" t="s">
        <v>355</v>
      </c>
      <c r="E131" s="614" t="s">
        <v>2</v>
      </c>
      <c r="F131" s="614" t="s">
        <v>3</v>
      </c>
      <c r="G131" s="613" t="s">
        <v>362</v>
      </c>
      <c r="H131" s="614" t="s">
        <v>356</v>
      </c>
      <c r="I131" s="613" t="s">
        <v>374</v>
      </c>
      <c r="J131" s="613" t="s">
        <v>363</v>
      </c>
      <c r="K131" s="613" t="s">
        <v>364</v>
      </c>
      <c r="L131" s="613" t="s">
        <v>365</v>
      </c>
    </row>
    <row r="132" spans="1:19" s="158" customFormat="1">
      <c r="A132" s="614"/>
      <c r="B132" s="614"/>
      <c r="C132" s="613"/>
      <c r="D132" s="614"/>
      <c r="E132" s="614"/>
      <c r="F132" s="614"/>
      <c r="G132" s="613"/>
      <c r="H132" s="614"/>
      <c r="I132" s="614"/>
      <c r="J132" s="614"/>
      <c r="K132" s="614"/>
      <c r="L132" s="614"/>
    </row>
    <row r="133" spans="1:19" s="158" customFormat="1" ht="33.75">
      <c r="A133" s="415" t="s">
        <v>375</v>
      </c>
      <c r="B133" s="415" t="s">
        <v>359</v>
      </c>
      <c r="C133" s="415">
        <v>1107892</v>
      </c>
      <c r="D133" s="423" t="s">
        <v>151</v>
      </c>
      <c r="E133" s="433">
        <f>MEMÓRIA!$L$307</f>
        <v>506.98</v>
      </c>
      <c r="F133" s="433" t="str">
        <f>MEMÓRIA!$M$307</f>
        <v>m</v>
      </c>
      <c r="G133" s="434" t="s">
        <v>149</v>
      </c>
      <c r="H133" s="666" t="s">
        <v>150</v>
      </c>
      <c r="I133" s="425">
        <v>3.9900420000000006E-2</v>
      </c>
      <c r="J133" s="435">
        <f>E133*I133</f>
        <v>20.228714931600003</v>
      </c>
      <c r="K133" s="436">
        <f>DMT!$AO$16</f>
        <v>3</v>
      </c>
      <c r="L133" s="425">
        <f>J133*K133</f>
        <v>60.686144794800008</v>
      </c>
      <c r="M133" s="93"/>
      <c r="N133" s="93"/>
      <c r="O133" s="93"/>
      <c r="P133" s="93"/>
    </row>
    <row r="134" spans="1:19" s="158" customFormat="1" ht="33.75">
      <c r="A134" s="415" t="s">
        <v>375</v>
      </c>
      <c r="B134" s="415" t="s">
        <v>359</v>
      </c>
      <c r="C134" s="415">
        <v>1107892</v>
      </c>
      <c r="D134" s="423" t="s">
        <v>151</v>
      </c>
      <c r="E134" s="433">
        <f>MEMÓRIA!$L$307</f>
        <v>506.98</v>
      </c>
      <c r="F134" s="433" t="str">
        <f>MEMÓRIA!$M$307</f>
        <v>m</v>
      </c>
      <c r="G134" s="434" t="s">
        <v>154</v>
      </c>
      <c r="H134" s="666" t="s">
        <v>155</v>
      </c>
      <c r="I134" s="425">
        <v>2.3155019999999998E-2</v>
      </c>
      <c r="J134" s="435">
        <f>E134*I134</f>
        <v>11.739132039599999</v>
      </c>
      <c r="K134" s="436">
        <f>DMT!$AO$16</f>
        <v>3</v>
      </c>
      <c r="L134" s="425">
        <f>J134*K134</f>
        <v>35.217396118799996</v>
      </c>
      <c r="M134" s="93"/>
      <c r="N134" s="93"/>
      <c r="O134" s="93"/>
      <c r="P134" s="93"/>
    </row>
    <row r="135" spans="1:19" s="158" customFormat="1" ht="33.75">
      <c r="A135" s="415" t="s">
        <v>375</v>
      </c>
      <c r="B135" s="415" t="s">
        <v>359</v>
      </c>
      <c r="C135" s="415">
        <v>1107892</v>
      </c>
      <c r="D135" s="423" t="s">
        <v>151</v>
      </c>
      <c r="E135" s="433">
        <f>MEMÓRIA!$L$307</f>
        <v>506.98</v>
      </c>
      <c r="F135" s="433" t="str">
        <f>MEMÓRIA!$M$307</f>
        <v>m</v>
      </c>
      <c r="G135" s="434" t="s">
        <v>17</v>
      </c>
      <c r="H135" s="666" t="s">
        <v>18</v>
      </c>
      <c r="I135" s="425">
        <v>2.3155019999999998E-2</v>
      </c>
      <c r="J135" s="435">
        <f>E135*I135</f>
        <v>11.739132039599999</v>
      </c>
      <c r="K135" s="436">
        <f>DMT!$AO$16</f>
        <v>3</v>
      </c>
      <c r="L135" s="425">
        <f>J135*K135</f>
        <v>35.217396118799996</v>
      </c>
      <c r="M135" s="93"/>
      <c r="N135" s="93"/>
      <c r="O135" s="93"/>
      <c r="P135" s="93"/>
    </row>
    <row r="136" spans="1:19" s="8" customFormat="1" ht="30" customHeight="1">
      <c r="A136" s="443" t="str">
        <f>ORÇAMENTO!B140</f>
        <v>7.1.7</v>
      </c>
      <c r="B136" s="444"/>
      <c r="C136" s="443">
        <v>5914479</v>
      </c>
      <c r="D136" s="445" t="s">
        <v>157</v>
      </c>
      <c r="E136" s="446"/>
      <c r="F136" s="446"/>
      <c r="G136" s="446"/>
      <c r="H136" s="446"/>
      <c r="I136" s="446"/>
      <c r="J136" s="446"/>
      <c r="K136" s="446"/>
      <c r="L136" s="447">
        <f>ROUND(SUBTOTAL(109,L139:L145),2)</f>
        <v>470.45</v>
      </c>
      <c r="M136" s="59"/>
      <c r="N136" s="59" t="s">
        <v>11</v>
      </c>
      <c r="O136" s="59" t="s">
        <v>11</v>
      </c>
      <c r="P136" s="7"/>
      <c r="Q136" s="7"/>
      <c r="R136" s="7"/>
      <c r="S136" s="7"/>
    </row>
    <row r="137" spans="1:19" s="158" customFormat="1" ht="15" customHeight="1">
      <c r="A137" s="612" t="s">
        <v>357</v>
      </c>
      <c r="B137" s="612" t="s">
        <v>358</v>
      </c>
      <c r="C137" s="611" t="s">
        <v>361</v>
      </c>
      <c r="D137" s="612" t="s">
        <v>355</v>
      </c>
      <c r="E137" s="612" t="s">
        <v>2</v>
      </c>
      <c r="F137" s="612" t="s">
        <v>3</v>
      </c>
      <c r="G137" s="611" t="s">
        <v>362</v>
      </c>
      <c r="H137" s="612" t="s">
        <v>356</v>
      </c>
      <c r="I137" s="613" t="s">
        <v>374</v>
      </c>
      <c r="J137" s="611" t="s">
        <v>363</v>
      </c>
      <c r="K137" s="611" t="s">
        <v>364</v>
      </c>
      <c r="L137" s="611" t="s">
        <v>365</v>
      </c>
    </row>
    <row r="138" spans="1:19" s="158" customFormat="1">
      <c r="A138" s="612"/>
      <c r="B138" s="612"/>
      <c r="C138" s="611"/>
      <c r="D138" s="612"/>
      <c r="E138" s="612"/>
      <c r="F138" s="612"/>
      <c r="G138" s="611"/>
      <c r="H138" s="612"/>
      <c r="I138" s="614"/>
      <c r="J138" s="612"/>
      <c r="K138" s="612"/>
      <c r="L138" s="612"/>
    </row>
    <row r="139" spans="1:19" s="158" customFormat="1" ht="33.75">
      <c r="A139" s="415" t="s">
        <v>369</v>
      </c>
      <c r="B139" s="415" t="s">
        <v>359</v>
      </c>
      <c r="C139" s="415">
        <v>1107892</v>
      </c>
      <c r="D139" s="423" t="s">
        <v>151</v>
      </c>
      <c r="E139" s="433">
        <f>MEMÓRIA!$L$307</f>
        <v>506.98</v>
      </c>
      <c r="F139" s="433" t="str">
        <f>MEMÓRIA!$M$307</f>
        <v>m</v>
      </c>
      <c r="G139" s="434" t="s">
        <v>152</v>
      </c>
      <c r="H139" s="666" t="s">
        <v>153</v>
      </c>
      <c r="I139" s="425">
        <v>3.57E-5</v>
      </c>
      <c r="J139" s="435">
        <f t="shared" ref="J139:J145" si="6">E139*I139</f>
        <v>1.8099186E-2</v>
      </c>
      <c r="K139" s="436">
        <f>DMT!$AO$17</f>
        <v>48.4</v>
      </c>
      <c r="L139" s="425">
        <f t="shared" ref="L139:L145" si="7">J139*K139</f>
        <v>0.87600060239999999</v>
      </c>
      <c r="M139" s="93"/>
      <c r="N139" s="93"/>
      <c r="O139" s="93"/>
      <c r="P139" s="93"/>
    </row>
    <row r="140" spans="1:19" s="158" customFormat="1" ht="33.75">
      <c r="A140" s="415" t="s">
        <v>369</v>
      </c>
      <c r="B140" s="415" t="s">
        <v>359</v>
      </c>
      <c r="C140" s="415">
        <v>1107892</v>
      </c>
      <c r="D140" s="423" t="s">
        <v>151</v>
      </c>
      <c r="E140" s="433">
        <f>MEMÓRIA!$L$307</f>
        <v>506.98</v>
      </c>
      <c r="F140" s="433" t="str">
        <f>MEMÓRIA!$M$307</f>
        <v>m</v>
      </c>
      <c r="G140" s="434" t="s">
        <v>156</v>
      </c>
      <c r="H140" s="666" t="s">
        <v>210</v>
      </c>
      <c r="I140" s="425">
        <v>1.1850300000000001E-2</v>
      </c>
      <c r="J140" s="435">
        <f t="shared" si="6"/>
        <v>6.0078650940000005</v>
      </c>
      <c r="K140" s="436">
        <f>DMT!$AO$17</f>
        <v>48.4</v>
      </c>
      <c r="L140" s="425">
        <f t="shared" si="7"/>
        <v>290.78067054960002</v>
      </c>
      <c r="M140" s="93"/>
      <c r="N140" s="93"/>
      <c r="O140" s="93"/>
      <c r="P140" s="93"/>
    </row>
    <row r="141" spans="1:19" s="158" customFormat="1" ht="45">
      <c r="A141" s="415" t="s">
        <v>369</v>
      </c>
      <c r="B141" s="415" t="s">
        <v>359</v>
      </c>
      <c r="C141" s="415">
        <v>2003842</v>
      </c>
      <c r="D141" s="423" t="s">
        <v>184</v>
      </c>
      <c r="E141" s="433">
        <f>MEMÓRIA!$L$307</f>
        <v>506.98</v>
      </c>
      <c r="F141" s="433" t="str">
        <f>MEMÓRIA!$M$307</f>
        <v>m</v>
      </c>
      <c r="G141" s="434" t="s">
        <v>224</v>
      </c>
      <c r="H141" s="666" t="s">
        <v>225</v>
      </c>
      <c r="I141" s="425">
        <v>5.9499999999999996E-5</v>
      </c>
      <c r="J141" s="435">
        <f t="shared" si="6"/>
        <v>3.0165310000000001E-2</v>
      </c>
      <c r="K141" s="436">
        <f>DMT!$AO$17</f>
        <v>48.4</v>
      </c>
      <c r="L141" s="425">
        <f t="shared" si="7"/>
        <v>1.460001004</v>
      </c>
      <c r="M141" s="93"/>
      <c r="N141" s="93"/>
      <c r="O141" s="93"/>
      <c r="P141" s="93"/>
    </row>
    <row r="142" spans="1:19" s="158" customFormat="1" ht="45">
      <c r="A142" s="415" t="s">
        <v>369</v>
      </c>
      <c r="B142" s="415" t="s">
        <v>359</v>
      </c>
      <c r="C142" s="415">
        <v>3103302</v>
      </c>
      <c r="D142" s="423" t="s">
        <v>254</v>
      </c>
      <c r="E142" s="433">
        <f>MEMÓRIA!$L$307</f>
        <v>506.98</v>
      </c>
      <c r="F142" s="433" t="str">
        <f>MEMÓRIA!$M$307</f>
        <v>m</v>
      </c>
      <c r="G142" s="434" t="s">
        <v>211</v>
      </c>
      <c r="H142" s="666" t="s">
        <v>249</v>
      </c>
      <c r="I142" s="425">
        <v>1.095E-5</v>
      </c>
      <c r="J142" s="435">
        <f t="shared" si="6"/>
        <v>5.5514309999999999E-3</v>
      </c>
      <c r="K142" s="436">
        <f>DMT!$AO$17</f>
        <v>48.4</v>
      </c>
      <c r="L142" s="425">
        <f t="shared" si="7"/>
        <v>0.26868926039999996</v>
      </c>
      <c r="M142" s="93"/>
      <c r="N142" s="93"/>
      <c r="O142" s="93"/>
      <c r="P142" s="93"/>
    </row>
    <row r="143" spans="1:19" s="158" customFormat="1" ht="45">
      <c r="A143" s="415" t="s">
        <v>369</v>
      </c>
      <c r="B143" s="415" t="s">
        <v>359</v>
      </c>
      <c r="C143" s="415">
        <v>3103302</v>
      </c>
      <c r="D143" s="423" t="s">
        <v>254</v>
      </c>
      <c r="E143" s="433">
        <f>MEMÓRIA!$L$307</f>
        <v>506.98</v>
      </c>
      <c r="F143" s="433" t="str">
        <f>MEMÓRIA!$M$307</f>
        <v>m</v>
      </c>
      <c r="G143" s="434" t="s">
        <v>216</v>
      </c>
      <c r="H143" s="666" t="s">
        <v>217</v>
      </c>
      <c r="I143" s="425">
        <v>1.6424999999999999E-5</v>
      </c>
      <c r="J143" s="435">
        <f t="shared" si="6"/>
        <v>8.3271465000000003E-3</v>
      </c>
      <c r="K143" s="436">
        <f>DMT!$AO$17</f>
        <v>48.4</v>
      </c>
      <c r="L143" s="425">
        <f t="shared" si="7"/>
        <v>0.4030338906</v>
      </c>
      <c r="M143" s="93"/>
      <c r="N143" s="93"/>
      <c r="O143" s="93"/>
      <c r="P143" s="93"/>
    </row>
    <row r="144" spans="1:19" s="158" customFormat="1" ht="45">
      <c r="A144" s="415" t="s">
        <v>369</v>
      </c>
      <c r="B144" s="415" t="s">
        <v>359</v>
      </c>
      <c r="C144" s="415">
        <v>3103302</v>
      </c>
      <c r="D144" s="423" t="s">
        <v>254</v>
      </c>
      <c r="E144" s="433">
        <f>MEMÓRIA!$L$307</f>
        <v>506.98</v>
      </c>
      <c r="F144" s="433" t="str">
        <f>MEMÓRIA!$M$307</f>
        <v>m</v>
      </c>
      <c r="G144" s="434" t="s">
        <v>207</v>
      </c>
      <c r="H144" s="666" t="s">
        <v>248</v>
      </c>
      <c r="I144" s="425">
        <v>1.6644000000000001E-3</v>
      </c>
      <c r="J144" s="435">
        <f t="shared" si="6"/>
        <v>0.8438175120000001</v>
      </c>
      <c r="K144" s="436">
        <f>DMT!$AO$17</f>
        <v>48.4</v>
      </c>
      <c r="L144" s="425">
        <f t="shared" si="7"/>
        <v>40.840767580800005</v>
      </c>
      <c r="M144" s="93"/>
      <c r="N144" s="93"/>
      <c r="O144" s="93"/>
      <c r="P144" s="93"/>
    </row>
    <row r="145" spans="1:19" s="158" customFormat="1" ht="45">
      <c r="A145" s="415" t="s">
        <v>369</v>
      </c>
      <c r="B145" s="415" t="s">
        <v>359</v>
      </c>
      <c r="C145" s="415">
        <v>3103302</v>
      </c>
      <c r="D145" s="423" t="s">
        <v>254</v>
      </c>
      <c r="E145" s="433">
        <f>MEMÓRIA!$L$307</f>
        <v>506.98</v>
      </c>
      <c r="F145" s="433" t="str">
        <f>MEMÓRIA!$M$307</f>
        <v>m</v>
      </c>
      <c r="G145" s="434" t="s">
        <v>218</v>
      </c>
      <c r="H145" s="666" t="s">
        <v>219</v>
      </c>
      <c r="I145" s="425">
        <v>5.5352249999999995E-3</v>
      </c>
      <c r="J145" s="435">
        <f t="shared" si="6"/>
        <v>2.8062483704999996</v>
      </c>
      <c r="K145" s="436">
        <f>DMT!$AO$17</f>
        <v>48.4</v>
      </c>
      <c r="L145" s="425">
        <f t="shared" si="7"/>
        <v>135.82242113219999</v>
      </c>
      <c r="M145" s="93"/>
      <c r="N145" s="93"/>
      <c r="O145" s="93"/>
      <c r="P145" s="93"/>
    </row>
    <row r="146" spans="1:19" s="8" customFormat="1" ht="30" customHeight="1">
      <c r="A146" s="443" t="str">
        <f>ORÇAMENTO!B141</f>
        <v>7.1.8</v>
      </c>
      <c r="B146" s="444"/>
      <c r="C146" s="443">
        <v>5914389</v>
      </c>
      <c r="D146" s="445" t="s">
        <v>16</v>
      </c>
      <c r="E146" s="446"/>
      <c r="F146" s="446"/>
      <c r="G146" s="446"/>
      <c r="H146" s="446"/>
      <c r="I146" s="446"/>
      <c r="J146" s="446"/>
      <c r="K146" s="446"/>
      <c r="L146" s="447">
        <f>ROUND(SUBTOTAL(109,L149:L151),2)</f>
        <v>2115.42</v>
      </c>
      <c r="M146" s="59"/>
      <c r="N146" s="59" t="s">
        <v>11</v>
      </c>
      <c r="O146" s="59" t="s">
        <v>11</v>
      </c>
      <c r="P146" s="7"/>
      <c r="Q146" s="7"/>
      <c r="R146" s="7"/>
      <c r="S146" s="7"/>
    </row>
    <row r="147" spans="1:19" s="158" customFormat="1" ht="15" customHeight="1">
      <c r="A147" s="612" t="s">
        <v>357</v>
      </c>
      <c r="B147" s="612" t="s">
        <v>358</v>
      </c>
      <c r="C147" s="611" t="s">
        <v>361</v>
      </c>
      <c r="D147" s="612" t="s">
        <v>355</v>
      </c>
      <c r="E147" s="612" t="s">
        <v>2</v>
      </c>
      <c r="F147" s="612" t="s">
        <v>3</v>
      </c>
      <c r="G147" s="611" t="s">
        <v>362</v>
      </c>
      <c r="H147" s="612" t="s">
        <v>356</v>
      </c>
      <c r="I147" s="613" t="s">
        <v>374</v>
      </c>
      <c r="J147" s="611" t="s">
        <v>363</v>
      </c>
      <c r="K147" s="611" t="s">
        <v>364</v>
      </c>
      <c r="L147" s="611" t="s">
        <v>365</v>
      </c>
    </row>
    <row r="148" spans="1:19" s="158" customFormat="1">
      <c r="A148" s="612"/>
      <c r="B148" s="612"/>
      <c r="C148" s="611"/>
      <c r="D148" s="612"/>
      <c r="E148" s="612"/>
      <c r="F148" s="612"/>
      <c r="G148" s="611"/>
      <c r="H148" s="612"/>
      <c r="I148" s="614"/>
      <c r="J148" s="612"/>
      <c r="K148" s="612"/>
      <c r="L148" s="612"/>
    </row>
    <row r="149" spans="1:19" s="158" customFormat="1" ht="33.75">
      <c r="A149" s="415" t="s">
        <v>369</v>
      </c>
      <c r="B149" s="415" t="s">
        <v>359</v>
      </c>
      <c r="C149" s="415">
        <v>1107892</v>
      </c>
      <c r="D149" s="423" t="s">
        <v>151</v>
      </c>
      <c r="E149" s="433">
        <f>MEMÓRIA!$L$307</f>
        <v>506.98</v>
      </c>
      <c r="F149" s="433" t="str">
        <f>MEMÓRIA!$M$307</f>
        <v>m</v>
      </c>
      <c r="G149" s="434" t="s">
        <v>149</v>
      </c>
      <c r="H149" s="666" t="s">
        <v>150</v>
      </c>
      <c r="I149" s="425">
        <v>3.9900420000000006E-2</v>
      </c>
      <c r="J149" s="435">
        <f>E149*I149</f>
        <v>20.228714931600003</v>
      </c>
      <c r="K149" s="436">
        <f>DMT!$AO$17</f>
        <v>48.4</v>
      </c>
      <c r="L149" s="425">
        <f>J149*K149</f>
        <v>979.06980268944005</v>
      </c>
      <c r="M149" s="93"/>
      <c r="N149" s="93"/>
      <c r="O149" s="93"/>
      <c r="P149" s="93"/>
    </row>
    <row r="150" spans="1:19" s="158" customFormat="1" ht="33.75">
      <c r="A150" s="415" t="s">
        <v>369</v>
      </c>
      <c r="B150" s="415" t="s">
        <v>359</v>
      </c>
      <c r="C150" s="415">
        <v>1107892</v>
      </c>
      <c r="D150" s="423" t="s">
        <v>151</v>
      </c>
      <c r="E150" s="433">
        <f>MEMÓRIA!$L$307</f>
        <v>506.98</v>
      </c>
      <c r="F150" s="433" t="str">
        <f>MEMÓRIA!$M$307</f>
        <v>m</v>
      </c>
      <c r="G150" s="434" t="s">
        <v>154</v>
      </c>
      <c r="H150" s="666" t="s">
        <v>155</v>
      </c>
      <c r="I150" s="425">
        <v>2.3155019999999998E-2</v>
      </c>
      <c r="J150" s="435">
        <f>E150*I150</f>
        <v>11.739132039599999</v>
      </c>
      <c r="K150" s="436">
        <f>DMT!$AO$17</f>
        <v>48.4</v>
      </c>
      <c r="L150" s="425">
        <f>J150*K150</f>
        <v>568.17399071663999</v>
      </c>
      <c r="M150" s="93"/>
      <c r="N150" s="93"/>
      <c r="O150" s="93"/>
      <c r="P150" s="93"/>
    </row>
    <row r="151" spans="1:19" s="158" customFormat="1" ht="33.75">
      <c r="A151" s="415" t="s">
        <v>369</v>
      </c>
      <c r="B151" s="415" t="s">
        <v>359</v>
      </c>
      <c r="C151" s="415">
        <v>1107892</v>
      </c>
      <c r="D151" s="423" t="s">
        <v>151</v>
      </c>
      <c r="E151" s="433">
        <f>MEMÓRIA!$L$307</f>
        <v>506.98</v>
      </c>
      <c r="F151" s="433" t="str">
        <f>MEMÓRIA!$M$307</f>
        <v>m</v>
      </c>
      <c r="G151" s="434" t="s">
        <v>17</v>
      </c>
      <c r="H151" s="666" t="s">
        <v>18</v>
      </c>
      <c r="I151" s="425">
        <v>2.3155019999999998E-2</v>
      </c>
      <c r="J151" s="435">
        <f>E151*I151</f>
        <v>11.739132039599999</v>
      </c>
      <c r="K151" s="436">
        <f>DMT!$AO$17</f>
        <v>48.4</v>
      </c>
      <c r="L151" s="425">
        <f>J151*K151</f>
        <v>568.17399071663999</v>
      </c>
      <c r="M151" s="93"/>
      <c r="N151" s="93"/>
      <c r="O151" s="93"/>
      <c r="P151" s="93"/>
    </row>
    <row r="152" spans="1:19" s="158" customFormat="1">
      <c r="A152" s="448"/>
      <c r="B152" s="448"/>
      <c r="C152" s="448"/>
      <c r="D152" s="448"/>
      <c r="E152" s="448"/>
      <c r="F152" s="448"/>
      <c r="G152" s="448"/>
      <c r="H152" s="448"/>
      <c r="I152" s="448"/>
      <c r="J152" s="448"/>
      <c r="K152" s="448"/>
      <c r="L152" s="448"/>
    </row>
    <row r="153" spans="1:19" s="158" customFormat="1">
      <c r="A153" s="406" t="str">
        <f>ORÇAMENTO!B142</f>
        <v>7.2</v>
      </c>
      <c r="B153" s="407" t="str">
        <f>INDEX(ORÇAMENTO!E:E,MATCH(A153,ORÇAMENTO!B:B,0))</f>
        <v>DESCIDA DÁGUA DE ATERRO EM DEGRAUS - DAD 02 
- AREIA E BRITA  COMERCIAL</v>
      </c>
      <c r="C153" s="408"/>
      <c r="D153" s="408"/>
      <c r="E153" s="408"/>
      <c r="F153" s="408"/>
      <c r="G153" s="408"/>
      <c r="H153" s="408"/>
      <c r="I153" s="408"/>
      <c r="J153" s="408"/>
      <c r="K153" s="408"/>
      <c r="L153" s="408"/>
    </row>
    <row r="154" spans="1:19" s="8" customFormat="1" ht="30" customHeight="1">
      <c r="A154" s="443" t="str">
        <f>ORÇAMENTO!B161</f>
        <v>7.2.7</v>
      </c>
      <c r="B154" s="444"/>
      <c r="C154" s="443">
        <v>5914449</v>
      </c>
      <c r="D154" s="445" t="s">
        <v>118</v>
      </c>
      <c r="E154" s="446"/>
      <c r="F154" s="446"/>
      <c r="G154" s="446"/>
      <c r="H154" s="446"/>
      <c r="I154" s="446"/>
      <c r="J154" s="446"/>
      <c r="K154" s="446"/>
      <c r="L154" s="447">
        <f>ROUND(SUBTOTAL(109,L157:L165),2)</f>
        <v>44.77</v>
      </c>
      <c r="M154" s="59"/>
      <c r="N154" s="59" t="s">
        <v>11</v>
      </c>
      <c r="O154" s="59" t="s">
        <v>11</v>
      </c>
      <c r="P154" s="7"/>
      <c r="Q154" s="7"/>
      <c r="R154" s="7"/>
      <c r="S154" s="7"/>
    </row>
    <row r="155" spans="1:19" s="158" customFormat="1" ht="15" customHeight="1">
      <c r="A155" s="616" t="s">
        <v>357</v>
      </c>
      <c r="B155" s="612" t="s">
        <v>358</v>
      </c>
      <c r="C155" s="615" t="s">
        <v>361</v>
      </c>
      <c r="D155" s="616" t="s">
        <v>355</v>
      </c>
      <c r="E155" s="616" t="s">
        <v>2</v>
      </c>
      <c r="F155" s="616" t="s">
        <v>3</v>
      </c>
      <c r="G155" s="615" t="s">
        <v>362</v>
      </c>
      <c r="H155" s="616" t="s">
        <v>356</v>
      </c>
      <c r="I155" s="613" t="s">
        <v>374</v>
      </c>
      <c r="J155" s="615" t="s">
        <v>363</v>
      </c>
      <c r="K155" s="615" t="s">
        <v>364</v>
      </c>
      <c r="L155" s="615" t="s">
        <v>365</v>
      </c>
    </row>
    <row r="156" spans="1:19" s="158" customFormat="1">
      <c r="A156" s="616"/>
      <c r="B156" s="612"/>
      <c r="C156" s="615"/>
      <c r="D156" s="616"/>
      <c r="E156" s="616"/>
      <c r="F156" s="616"/>
      <c r="G156" s="615"/>
      <c r="H156" s="616"/>
      <c r="I156" s="614"/>
      <c r="J156" s="616"/>
      <c r="K156" s="616"/>
      <c r="L156" s="616"/>
    </row>
    <row r="157" spans="1:19" s="158" customFormat="1" ht="45" customHeight="1">
      <c r="A157" s="432" t="s">
        <v>375</v>
      </c>
      <c r="B157" s="432" t="s">
        <v>359</v>
      </c>
      <c r="C157" s="432">
        <v>407820</v>
      </c>
      <c r="D157" s="423" t="s">
        <v>179</v>
      </c>
      <c r="E157" s="433">
        <f>MEMÓRIA!$L$311</f>
        <v>180</v>
      </c>
      <c r="F157" s="433" t="str">
        <f>MEMÓRIA!$M$311</f>
        <v>m</v>
      </c>
      <c r="G157" s="434" t="s">
        <v>197</v>
      </c>
      <c r="H157" s="666" t="s">
        <v>198</v>
      </c>
      <c r="I157" s="425">
        <v>4.752000000000001E-3</v>
      </c>
      <c r="J157" s="435">
        <f t="shared" ref="J157:J165" si="8">E157*I157</f>
        <v>0.85536000000000023</v>
      </c>
      <c r="K157" s="436">
        <f>DMT!$AO$16</f>
        <v>3</v>
      </c>
      <c r="L157" s="435">
        <f t="shared" ref="L157:L165" si="9">J157*K157</f>
        <v>2.5660800000000008</v>
      </c>
      <c r="M157" s="93"/>
      <c r="N157" s="93"/>
      <c r="O157" s="93"/>
      <c r="P157" s="93"/>
    </row>
    <row r="158" spans="1:19" s="158" customFormat="1" ht="45" customHeight="1">
      <c r="A158" s="432" t="s">
        <v>375</v>
      </c>
      <c r="B158" s="432" t="s">
        <v>359</v>
      </c>
      <c r="C158" s="432">
        <v>407820</v>
      </c>
      <c r="D158" s="423" t="s">
        <v>179</v>
      </c>
      <c r="E158" s="433">
        <f>MEMÓRIA!$L$311</f>
        <v>180</v>
      </c>
      <c r="F158" s="433" t="str">
        <f>MEMÓRIA!$M$311</f>
        <v>m</v>
      </c>
      <c r="G158" s="434" t="s">
        <v>201</v>
      </c>
      <c r="H158" s="666" t="s">
        <v>202</v>
      </c>
      <c r="I158" s="425">
        <v>8.6400000000000013E-5</v>
      </c>
      <c r="J158" s="435">
        <f t="shared" si="8"/>
        <v>1.5552000000000002E-2</v>
      </c>
      <c r="K158" s="436">
        <f>DMT!$AO$16</f>
        <v>3</v>
      </c>
      <c r="L158" s="435">
        <f t="shared" si="9"/>
        <v>4.6656000000000003E-2</v>
      </c>
      <c r="M158" s="93"/>
      <c r="N158" s="93"/>
      <c r="O158" s="93"/>
      <c r="P158" s="93"/>
    </row>
    <row r="159" spans="1:19" s="158" customFormat="1" ht="33.75">
      <c r="A159" s="432" t="s">
        <v>375</v>
      </c>
      <c r="B159" s="432" t="s">
        <v>359</v>
      </c>
      <c r="C159" s="432">
        <v>1107892</v>
      </c>
      <c r="D159" s="423" t="s">
        <v>151</v>
      </c>
      <c r="E159" s="433">
        <f>MEMÓRIA!$L$311</f>
        <v>180</v>
      </c>
      <c r="F159" s="433" t="str">
        <f>MEMÓRIA!$M$311</f>
        <v>m</v>
      </c>
      <c r="G159" s="434" t="s">
        <v>152</v>
      </c>
      <c r="H159" s="666" t="s">
        <v>153</v>
      </c>
      <c r="I159" s="425">
        <v>2.2100000000000001E-4</v>
      </c>
      <c r="J159" s="435">
        <f t="shared" si="8"/>
        <v>3.9780000000000003E-2</v>
      </c>
      <c r="K159" s="436">
        <f>DMT!$AO$16</f>
        <v>3</v>
      </c>
      <c r="L159" s="425">
        <f t="shared" si="9"/>
        <v>0.11934</v>
      </c>
      <c r="M159" s="93"/>
      <c r="N159" s="93"/>
      <c r="O159" s="93"/>
      <c r="P159" s="93"/>
    </row>
    <row r="160" spans="1:19" s="158" customFormat="1" ht="33.75">
      <c r="A160" s="432" t="s">
        <v>375</v>
      </c>
      <c r="B160" s="432" t="s">
        <v>359</v>
      </c>
      <c r="C160" s="432">
        <v>1107892</v>
      </c>
      <c r="D160" s="423" t="s">
        <v>151</v>
      </c>
      <c r="E160" s="433">
        <f>MEMÓRIA!$L$311</f>
        <v>180</v>
      </c>
      <c r="F160" s="433" t="str">
        <f>MEMÓRIA!$M$311</f>
        <v>m</v>
      </c>
      <c r="G160" s="434" t="s">
        <v>156</v>
      </c>
      <c r="H160" s="666" t="s">
        <v>210</v>
      </c>
      <c r="I160" s="425">
        <v>7.3359000000000008E-2</v>
      </c>
      <c r="J160" s="435">
        <f t="shared" si="8"/>
        <v>13.204620000000002</v>
      </c>
      <c r="K160" s="436">
        <f>DMT!$AO$16</f>
        <v>3</v>
      </c>
      <c r="L160" s="425">
        <f t="shared" si="9"/>
        <v>39.613860000000003</v>
      </c>
      <c r="M160" s="93"/>
      <c r="N160" s="93"/>
      <c r="O160" s="93"/>
      <c r="P160" s="93"/>
    </row>
    <row r="161" spans="1:19" s="158" customFormat="1" ht="45">
      <c r="A161" s="432" t="s">
        <v>375</v>
      </c>
      <c r="B161" s="432" t="s">
        <v>359</v>
      </c>
      <c r="C161" s="432">
        <v>2003842</v>
      </c>
      <c r="D161" s="423" t="s">
        <v>184</v>
      </c>
      <c r="E161" s="433">
        <f>MEMÓRIA!$L$311</f>
        <v>180</v>
      </c>
      <c r="F161" s="433" t="str">
        <f>MEMÓRIA!$M$311</f>
        <v>m</v>
      </c>
      <c r="G161" s="434" t="s">
        <v>224</v>
      </c>
      <c r="H161" s="666" t="s">
        <v>225</v>
      </c>
      <c r="I161" s="425">
        <v>1.0544899999999999E-3</v>
      </c>
      <c r="J161" s="435">
        <f t="shared" si="8"/>
        <v>0.18980819999999998</v>
      </c>
      <c r="K161" s="436">
        <f>DMT!$AO$16</f>
        <v>3</v>
      </c>
      <c r="L161" s="425">
        <f t="shared" si="9"/>
        <v>0.56942459999999995</v>
      </c>
      <c r="M161" s="93"/>
      <c r="N161" s="93"/>
      <c r="O161" s="93"/>
      <c r="P161" s="93"/>
    </row>
    <row r="162" spans="1:19" s="158" customFormat="1" ht="45">
      <c r="A162" s="432" t="s">
        <v>375</v>
      </c>
      <c r="B162" s="432" t="s">
        <v>359</v>
      </c>
      <c r="C162" s="432">
        <v>3103302</v>
      </c>
      <c r="D162" s="423" t="s">
        <v>254</v>
      </c>
      <c r="E162" s="433">
        <f>MEMÓRIA!$L$311</f>
        <v>180</v>
      </c>
      <c r="F162" s="433" t="str">
        <f>MEMÓRIA!$M$311</f>
        <v>m</v>
      </c>
      <c r="G162" s="434" t="s">
        <v>211</v>
      </c>
      <c r="H162" s="666" t="s">
        <v>249</v>
      </c>
      <c r="I162" s="425">
        <v>5.2000000000000002E-6</v>
      </c>
      <c r="J162" s="435">
        <f t="shared" si="8"/>
        <v>9.3599999999999998E-4</v>
      </c>
      <c r="K162" s="436">
        <f>DMT!$AO$16</f>
        <v>3</v>
      </c>
      <c r="L162" s="425">
        <f t="shared" si="9"/>
        <v>2.8079999999999997E-3</v>
      </c>
      <c r="M162" s="93"/>
      <c r="N162" s="93"/>
      <c r="O162" s="93"/>
      <c r="P162" s="93"/>
    </row>
    <row r="163" spans="1:19" s="158" customFormat="1" ht="45">
      <c r="A163" s="432" t="s">
        <v>375</v>
      </c>
      <c r="B163" s="432" t="s">
        <v>359</v>
      </c>
      <c r="C163" s="432">
        <v>3103302</v>
      </c>
      <c r="D163" s="423" t="s">
        <v>254</v>
      </c>
      <c r="E163" s="433">
        <f>MEMÓRIA!$L$311</f>
        <v>180</v>
      </c>
      <c r="F163" s="433" t="str">
        <f>MEMÓRIA!$M$311</f>
        <v>m</v>
      </c>
      <c r="G163" s="434" t="s">
        <v>216</v>
      </c>
      <c r="H163" s="666" t="s">
        <v>217</v>
      </c>
      <c r="I163" s="425">
        <v>7.7999999999999999E-6</v>
      </c>
      <c r="J163" s="435">
        <f t="shared" si="8"/>
        <v>1.4039999999999999E-3</v>
      </c>
      <c r="K163" s="436">
        <f>DMT!$AO$16</f>
        <v>3</v>
      </c>
      <c r="L163" s="425">
        <f t="shared" si="9"/>
        <v>4.2119999999999996E-3</v>
      </c>
      <c r="M163" s="93"/>
      <c r="N163" s="93"/>
      <c r="O163" s="93"/>
      <c r="P163" s="93"/>
    </row>
    <row r="164" spans="1:19" s="158" customFormat="1" ht="45">
      <c r="A164" s="432" t="s">
        <v>375</v>
      </c>
      <c r="B164" s="432" t="s">
        <v>359</v>
      </c>
      <c r="C164" s="432">
        <v>3103302</v>
      </c>
      <c r="D164" s="423" t="s">
        <v>254</v>
      </c>
      <c r="E164" s="433">
        <f>MEMÓRIA!$L$311</f>
        <v>180</v>
      </c>
      <c r="F164" s="433" t="str">
        <f>MEMÓRIA!$M$311</f>
        <v>m</v>
      </c>
      <c r="G164" s="434" t="s">
        <v>207</v>
      </c>
      <c r="H164" s="666" t="s">
        <v>248</v>
      </c>
      <c r="I164" s="425">
        <v>7.9040000000000002E-4</v>
      </c>
      <c r="J164" s="435">
        <f t="shared" si="8"/>
        <v>0.14227200000000001</v>
      </c>
      <c r="K164" s="436">
        <f>DMT!$AO$16</f>
        <v>3</v>
      </c>
      <c r="L164" s="425">
        <f t="shared" si="9"/>
        <v>0.42681600000000003</v>
      </c>
      <c r="M164" s="93"/>
      <c r="N164" s="93"/>
      <c r="O164" s="93"/>
      <c r="P164" s="93"/>
    </row>
    <row r="165" spans="1:19" s="158" customFormat="1" ht="45">
      <c r="A165" s="432" t="s">
        <v>375</v>
      </c>
      <c r="B165" s="432" t="s">
        <v>359</v>
      </c>
      <c r="C165" s="432">
        <v>3103302</v>
      </c>
      <c r="D165" s="423" t="s">
        <v>254</v>
      </c>
      <c r="E165" s="433">
        <f>MEMÓRIA!$L$311</f>
        <v>180</v>
      </c>
      <c r="F165" s="433" t="str">
        <f>MEMÓRIA!$M$311</f>
        <v>m</v>
      </c>
      <c r="G165" s="434" t="s">
        <v>218</v>
      </c>
      <c r="H165" s="666" t="s">
        <v>219</v>
      </c>
      <c r="I165" s="425">
        <v>2.6286E-3</v>
      </c>
      <c r="J165" s="435">
        <f t="shared" si="8"/>
        <v>0.47314800000000001</v>
      </c>
      <c r="K165" s="436">
        <f>DMT!$AO$16</f>
        <v>3</v>
      </c>
      <c r="L165" s="425">
        <f t="shared" si="9"/>
        <v>1.4194439999999999</v>
      </c>
      <c r="M165" s="93"/>
      <c r="N165" s="93"/>
      <c r="O165" s="93"/>
      <c r="P165" s="93"/>
    </row>
    <row r="166" spans="1:19" s="8" customFormat="1" ht="30" customHeight="1">
      <c r="A166" s="443" t="str">
        <f>ORÇAMENTO!B162</f>
        <v>7.2.8</v>
      </c>
      <c r="B166" s="444"/>
      <c r="C166" s="443">
        <v>5914359</v>
      </c>
      <c r="D166" s="445" t="s">
        <v>116</v>
      </c>
      <c r="E166" s="446"/>
      <c r="F166" s="446"/>
      <c r="G166" s="446"/>
      <c r="H166" s="446"/>
      <c r="I166" s="446"/>
      <c r="J166" s="446"/>
      <c r="K166" s="446"/>
      <c r="L166" s="447">
        <f>ROUND(SUBTOTAL(109,L169:L171),2)</f>
        <v>288.19</v>
      </c>
      <c r="M166" s="59"/>
      <c r="N166" s="59" t="s">
        <v>11</v>
      </c>
      <c r="O166" s="59" t="s">
        <v>11</v>
      </c>
      <c r="P166" s="7"/>
      <c r="Q166" s="7"/>
      <c r="R166" s="7"/>
      <c r="S166" s="7"/>
    </row>
    <row r="167" spans="1:19" s="158" customFormat="1" ht="15" customHeight="1">
      <c r="A167" s="614" t="s">
        <v>357</v>
      </c>
      <c r="B167" s="612" t="s">
        <v>358</v>
      </c>
      <c r="C167" s="611" t="s">
        <v>361</v>
      </c>
      <c r="D167" s="612" t="s">
        <v>355</v>
      </c>
      <c r="E167" s="612" t="s">
        <v>2</v>
      </c>
      <c r="F167" s="612" t="s">
        <v>3</v>
      </c>
      <c r="G167" s="611" t="s">
        <v>362</v>
      </c>
      <c r="H167" s="612" t="s">
        <v>356</v>
      </c>
      <c r="I167" s="611" t="s">
        <v>374</v>
      </c>
      <c r="J167" s="611" t="s">
        <v>363</v>
      </c>
      <c r="K167" s="611" t="s">
        <v>364</v>
      </c>
      <c r="L167" s="613" t="s">
        <v>365</v>
      </c>
    </row>
    <row r="168" spans="1:19" s="158" customFormat="1">
      <c r="A168" s="614"/>
      <c r="B168" s="612"/>
      <c r="C168" s="611"/>
      <c r="D168" s="612"/>
      <c r="E168" s="612"/>
      <c r="F168" s="612"/>
      <c r="G168" s="611"/>
      <c r="H168" s="612"/>
      <c r="I168" s="612"/>
      <c r="J168" s="612"/>
      <c r="K168" s="612"/>
      <c r="L168" s="614"/>
    </row>
    <row r="169" spans="1:19" s="158" customFormat="1" ht="33.75">
      <c r="A169" s="415" t="s">
        <v>375</v>
      </c>
      <c r="B169" s="432" t="s">
        <v>359</v>
      </c>
      <c r="C169" s="432">
        <v>1107892</v>
      </c>
      <c r="D169" s="423" t="s">
        <v>151</v>
      </c>
      <c r="E169" s="433">
        <f>MEMÓRIA!$L$311</f>
        <v>180</v>
      </c>
      <c r="F169" s="433" t="str">
        <f>MEMÓRIA!$M$311</f>
        <v>m</v>
      </c>
      <c r="G169" s="434" t="s">
        <v>149</v>
      </c>
      <c r="H169" s="666" t="s">
        <v>150</v>
      </c>
      <c r="I169" s="425">
        <v>0.24700260000000002</v>
      </c>
      <c r="J169" s="435">
        <f>E169*I169</f>
        <v>44.460468000000006</v>
      </c>
      <c r="K169" s="436">
        <f>DMT!$AO$16</f>
        <v>3</v>
      </c>
      <c r="L169" s="425">
        <f>J169*K169</f>
        <v>133.38140400000003</v>
      </c>
      <c r="M169" s="93"/>
      <c r="N169" s="93"/>
      <c r="O169" s="93"/>
      <c r="P169" s="93"/>
    </row>
    <row r="170" spans="1:19" s="158" customFormat="1" ht="33.75">
      <c r="A170" s="415" t="s">
        <v>375</v>
      </c>
      <c r="B170" s="432" t="s">
        <v>359</v>
      </c>
      <c r="C170" s="432">
        <v>1107892</v>
      </c>
      <c r="D170" s="423" t="s">
        <v>151</v>
      </c>
      <c r="E170" s="433">
        <f>MEMÓRIA!$L$311</f>
        <v>180</v>
      </c>
      <c r="F170" s="433" t="str">
        <f>MEMÓRIA!$M$311</f>
        <v>m</v>
      </c>
      <c r="G170" s="434" t="s">
        <v>154</v>
      </c>
      <c r="H170" s="666" t="s">
        <v>155</v>
      </c>
      <c r="I170" s="425">
        <v>0.14334059999999998</v>
      </c>
      <c r="J170" s="435">
        <f>E170*I170</f>
        <v>25.801307999999999</v>
      </c>
      <c r="K170" s="436">
        <f>DMT!$AO$16</f>
        <v>3</v>
      </c>
      <c r="L170" s="425">
        <f>J170*K170</f>
        <v>77.403923999999989</v>
      </c>
      <c r="M170" s="93"/>
      <c r="N170" s="93"/>
      <c r="O170" s="93"/>
      <c r="P170" s="93"/>
    </row>
    <row r="171" spans="1:19" s="158" customFormat="1" ht="33.75">
      <c r="A171" s="415" t="s">
        <v>375</v>
      </c>
      <c r="B171" s="432" t="s">
        <v>359</v>
      </c>
      <c r="C171" s="432">
        <v>1107892</v>
      </c>
      <c r="D171" s="423" t="s">
        <v>151</v>
      </c>
      <c r="E171" s="433">
        <f>MEMÓRIA!$L$311</f>
        <v>180</v>
      </c>
      <c r="F171" s="433" t="str">
        <f>MEMÓRIA!$M$311</f>
        <v>m</v>
      </c>
      <c r="G171" s="434" t="s">
        <v>17</v>
      </c>
      <c r="H171" s="666" t="s">
        <v>18</v>
      </c>
      <c r="I171" s="425">
        <v>0.14334059999999998</v>
      </c>
      <c r="J171" s="435">
        <f>E171*I171</f>
        <v>25.801307999999999</v>
      </c>
      <c r="K171" s="436">
        <f>DMT!$AO$16</f>
        <v>3</v>
      </c>
      <c r="L171" s="425">
        <f>J171*K171</f>
        <v>77.403923999999989</v>
      </c>
      <c r="M171" s="93"/>
      <c r="N171" s="93"/>
      <c r="O171" s="93"/>
      <c r="P171" s="93"/>
    </row>
    <row r="172" spans="1:19" s="8" customFormat="1" ht="30" customHeight="1">
      <c r="A172" s="443" t="str">
        <f>ORÇAMENTO!B163</f>
        <v>7.2.9</v>
      </c>
      <c r="B172" s="444"/>
      <c r="C172" s="443">
        <v>5914479</v>
      </c>
      <c r="D172" s="445" t="s">
        <v>157</v>
      </c>
      <c r="E172" s="446"/>
      <c r="F172" s="446"/>
      <c r="G172" s="446"/>
      <c r="H172" s="446"/>
      <c r="I172" s="446"/>
      <c r="J172" s="446"/>
      <c r="K172" s="446"/>
      <c r="L172" s="447">
        <f>ROUND(SUBTOTAL(109,L175:L183),2)</f>
        <v>722.27</v>
      </c>
      <c r="M172" s="59"/>
      <c r="N172" s="59" t="s">
        <v>11</v>
      </c>
      <c r="O172" s="59" t="s">
        <v>11</v>
      </c>
      <c r="P172" s="7"/>
      <c r="Q172" s="7"/>
      <c r="R172" s="7"/>
      <c r="S172" s="7"/>
    </row>
    <row r="173" spans="1:19" s="158" customFormat="1" ht="15" customHeight="1">
      <c r="A173" s="612" t="s">
        <v>357</v>
      </c>
      <c r="B173" s="612" t="s">
        <v>358</v>
      </c>
      <c r="C173" s="611" t="s">
        <v>361</v>
      </c>
      <c r="D173" s="612" t="s">
        <v>355</v>
      </c>
      <c r="E173" s="612" t="s">
        <v>2</v>
      </c>
      <c r="F173" s="612" t="s">
        <v>3</v>
      </c>
      <c r="G173" s="611" t="s">
        <v>362</v>
      </c>
      <c r="H173" s="612" t="s">
        <v>356</v>
      </c>
      <c r="I173" s="611" t="s">
        <v>374</v>
      </c>
      <c r="J173" s="611" t="s">
        <v>363</v>
      </c>
      <c r="K173" s="611" t="s">
        <v>364</v>
      </c>
      <c r="L173" s="611" t="s">
        <v>365</v>
      </c>
    </row>
    <row r="174" spans="1:19" s="158" customFormat="1">
      <c r="A174" s="612"/>
      <c r="B174" s="612"/>
      <c r="C174" s="611"/>
      <c r="D174" s="612"/>
      <c r="E174" s="612"/>
      <c r="F174" s="612"/>
      <c r="G174" s="611"/>
      <c r="H174" s="612"/>
      <c r="I174" s="612"/>
      <c r="J174" s="612"/>
      <c r="K174" s="612"/>
      <c r="L174" s="612"/>
    </row>
    <row r="175" spans="1:19" s="158" customFormat="1" ht="45" customHeight="1">
      <c r="A175" s="415" t="s">
        <v>369</v>
      </c>
      <c r="B175" s="432" t="s">
        <v>359</v>
      </c>
      <c r="C175" s="432">
        <v>407820</v>
      </c>
      <c r="D175" s="423" t="s">
        <v>179</v>
      </c>
      <c r="E175" s="433">
        <f>MEMÓRIA!$L$311</f>
        <v>180</v>
      </c>
      <c r="F175" s="433" t="str">
        <f>MEMÓRIA!$M$311</f>
        <v>m</v>
      </c>
      <c r="G175" s="434" t="s">
        <v>197</v>
      </c>
      <c r="H175" s="666" t="s">
        <v>198</v>
      </c>
      <c r="I175" s="425">
        <v>4.752000000000001E-3</v>
      </c>
      <c r="J175" s="435">
        <f>E175*I175</f>
        <v>0.85536000000000023</v>
      </c>
      <c r="K175" s="436">
        <f>DMT!$AO$17</f>
        <v>48.4</v>
      </c>
      <c r="L175" s="435">
        <f>J175*K175</f>
        <v>41.39942400000001</v>
      </c>
      <c r="M175" s="93"/>
      <c r="N175" s="93"/>
      <c r="O175" s="93"/>
      <c r="P175" s="93"/>
    </row>
    <row r="176" spans="1:19" s="158" customFormat="1" ht="45" customHeight="1">
      <c r="A176" s="415" t="s">
        <v>369</v>
      </c>
      <c r="B176" s="432" t="s">
        <v>359</v>
      </c>
      <c r="C176" s="432">
        <v>407820</v>
      </c>
      <c r="D176" s="423" t="s">
        <v>179</v>
      </c>
      <c r="E176" s="433">
        <f>MEMÓRIA!$L$311</f>
        <v>180</v>
      </c>
      <c r="F176" s="433" t="str">
        <f>MEMÓRIA!$M$311</f>
        <v>m</v>
      </c>
      <c r="G176" s="434" t="s">
        <v>201</v>
      </c>
      <c r="H176" s="666" t="s">
        <v>202</v>
      </c>
      <c r="I176" s="425">
        <v>8.6400000000000013E-5</v>
      </c>
      <c r="J176" s="435">
        <f>E176*I176</f>
        <v>1.5552000000000002E-2</v>
      </c>
      <c r="K176" s="436">
        <f>DMT!$AO$17</f>
        <v>48.4</v>
      </c>
      <c r="L176" s="435">
        <f>J176*K176</f>
        <v>0.75271680000000007</v>
      </c>
      <c r="M176" s="93"/>
      <c r="N176" s="93"/>
      <c r="O176" s="93"/>
      <c r="P176" s="93"/>
    </row>
    <row r="177" spans="1:19" s="158" customFormat="1" ht="33.75">
      <c r="A177" s="415" t="s">
        <v>369</v>
      </c>
      <c r="B177" s="432" t="s">
        <v>359</v>
      </c>
      <c r="C177" s="432">
        <v>1107892</v>
      </c>
      <c r="D177" s="423" t="s">
        <v>151</v>
      </c>
      <c r="E177" s="433">
        <f>MEMÓRIA!$L$311</f>
        <v>180</v>
      </c>
      <c r="F177" s="433" t="str">
        <f>MEMÓRIA!$M$311</f>
        <v>m</v>
      </c>
      <c r="G177" s="434" t="s">
        <v>152</v>
      </c>
      <c r="H177" s="666" t="s">
        <v>153</v>
      </c>
      <c r="I177" s="425">
        <v>2.2100000000000001E-4</v>
      </c>
      <c r="J177" s="435">
        <f t="shared" ref="J177:J183" si="10">E177*I177</f>
        <v>3.9780000000000003E-2</v>
      </c>
      <c r="K177" s="436">
        <f>DMT!$AO$17</f>
        <v>48.4</v>
      </c>
      <c r="L177" s="435">
        <f t="shared" ref="L177:L183" si="11">J177*K177</f>
        <v>1.9253520000000002</v>
      </c>
      <c r="M177" s="93"/>
      <c r="N177" s="93"/>
      <c r="O177" s="93"/>
      <c r="P177" s="93"/>
    </row>
    <row r="178" spans="1:19" s="158" customFormat="1" ht="33.75">
      <c r="A178" s="415" t="s">
        <v>369</v>
      </c>
      <c r="B178" s="432" t="s">
        <v>359</v>
      </c>
      <c r="C178" s="432">
        <v>1107892</v>
      </c>
      <c r="D178" s="423" t="s">
        <v>151</v>
      </c>
      <c r="E178" s="433">
        <f>MEMÓRIA!$L$311</f>
        <v>180</v>
      </c>
      <c r="F178" s="433" t="str">
        <f>MEMÓRIA!$M$311</f>
        <v>m</v>
      </c>
      <c r="G178" s="434" t="s">
        <v>156</v>
      </c>
      <c r="H178" s="666" t="s">
        <v>210</v>
      </c>
      <c r="I178" s="425">
        <v>7.3359000000000008E-2</v>
      </c>
      <c r="J178" s="435">
        <f t="shared" si="10"/>
        <v>13.204620000000002</v>
      </c>
      <c r="K178" s="436">
        <f>DMT!$AO$17</f>
        <v>48.4</v>
      </c>
      <c r="L178" s="435">
        <f t="shared" si="11"/>
        <v>639.10360800000012</v>
      </c>
      <c r="M178" s="93"/>
      <c r="N178" s="93"/>
      <c r="O178" s="93"/>
      <c r="P178" s="93"/>
    </row>
    <row r="179" spans="1:19" s="158" customFormat="1" ht="45">
      <c r="A179" s="415" t="s">
        <v>369</v>
      </c>
      <c r="B179" s="432" t="s">
        <v>359</v>
      </c>
      <c r="C179" s="432">
        <v>2003842</v>
      </c>
      <c r="D179" s="423" t="s">
        <v>184</v>
      </c>
      <c r="E179" s="433">
        <f>MEMÓRIA!$L$311</f>
        <v>180</v>
      </c>
      <c r="F179" s="433" t="str">
        <f>MEMÓRIA!$M$311</f>
        <v>m</v>
      </c>
      <c r="G179" s="434" t="s">
        <v>224</v>
      </c>
      <c r="H179" s="666" t="s">
        <v>225</v>
      </c>
      <c r="I179" s="425">
        <v>1.0544899999999999E-3</v>
      </c>
      <c r="J179" s="435">
        <f t="shared" si="10"/>
        <v>0.18980819999999998</v>
      </c>
      <c r="K179" s="436">
        <f>DMT!$AO$17</f>
        <v>48.4</v>
      </c>
      <c r="L179" s="435">
        <f t="shared" si="11"/>
        <v>9.1867168799999988</v>
      </c>
      <c r="M179" s="93"/>
      <c r="N179" s="93"/>
      <c r="O179" s="93"/>
      <c r="P179" s="93"/>
    </row>
    <row r="180" spans="1:19" s="158" customFormat="1" ht="45">
      <c r="A180" s="415" t="s">
        <v>369</v>
      </c>
      <c r="B180" s="432" t="s">
        <v>359</v>
      </c>
      <c r="C180" s="432">
        <v>3103302</v>
      </c>
      <c r="D180" s="423" t="s">
        <v>254</v>
      </c>
      <c r="E180" s="433">
        <f>MEMÓRIA!$L$311</f>
        <v>180</v>
      </c>
      <c r="F180" s="433" t="str">
        <f>MEMÓRIA!$M$311</f>
        <v>m</v>
      </c>
      <c r="G180" s="434" t="s">
        <v>211</v>
      </c>
      <c r="H180" s="666" t="s">
        <v>249</v>
      </c>
      <c r="I180" s="425">
        <v>5.2000000000000002E-6</v>
      </c>
      <c r="J180" s="435">
        <f t="shared" si="10"/>
        <v>9.3599999999999998E-4</v>
      </c>
      <c r="K180" s="436">
        <f>DMT!$AO$17</f>
        <v>48.4</v>
      </c>
      <c r="L180" s="435">
        <f t="shared" si="11"/>
        <v>4.53024E-2</v>
      </c>
      <c r="M180" s="93"/>
      <c r="N180" s="93"/>
      <c r="O180" s="93"/>
      <c r="P180" s="93"/>
    </row>
    <row r="181" spans="1:19" s="158" customFormat="1" ht="45">
      <c r="A181" s="415" t="s">
        <v>369</v>
      </c>
      <c r="B181" s="432" t="s">
        <v>359</v>
      </c>
      <c r="C181" s="432">
        <v>3103302</v>
      </c>
      <c r="D181" s="423" t="s">
        <v>254</v>
      </c>
      <c r="E181" s="433">
        <f>MEMÓRIA!$L$311</f>
        <v>180</v>
      </c>
      <c r="F181" s="433" t="str">
        <f>MEMÓRIA!$M$311</f>
        <v>m</v>
      </c>
      <c r="G181" s="434" t="s">
        <v>216</v>
      </c>
      <c r="H181" s="666" t="s">
        <v>217</v>
      </c>
      <c r="I181" s="425">
        <v>7.7999999999999999E-6</v>
      </c>
      <c r="J181" s="435">
        <f t="shared" si="10"/>
        <v>1.4039999999999999E-3</v>
      </c>
      <c r="K181" s="436">
        <f>DMT!$AO$17</f>
        <v>48.4</v>
      </c>
      <c r="L181" s="435">
        <f t="shared" si="11"/>
        <v>6.7953599999999989E-2</v>
      </c>
      <c r="M181" s="93"/>
      <c r="N181" s="93"/>
      <c r="O181" s="93"/>
      <c r="P181" s="93"/>
    </row>
    <row r="182" spans="1:19" s="158" customFormat="1" ht="45">
      <c r="A182" s="415" t="s">
        <v>369</v>
      </c>
      <c r="B182" s="432" t="s">
        <v>359</v>
      </c>
      <c r="C182" s="432">
        <v>3103302</v>
      </c>
      <c r="D182" s="423" t="s">
        <v>254</v>
      </c>
      <c r="E182" s="433">
        <f>MEMÓRIA!$L$311</f>
        <v>180</v>
      </c>
      <c r="F182" s="433" t="str">
        <f>MEMÓRIA!$M$311</f>
        <v>m</v>
      </c>
      <c r="G182" s="434" t="s">
        <v>207</v>
      </c>
      <c r="H182" s="666" t="s">
        <v>248</v>
      </c>
      <c r="I182" s="425">
        <v>7.9040000000000002E-4</v>
      </c>
      <c r="J182" s="435">
        <f t="shared" si="10"/>
        <v>0.14227200000000001</v>
      </c>
      <c r="K182" s="436">
        <f>DMT!$AO$17</f>
        <v>48.4</v>
      </c>
      <c r="L182" s="435">
        <f t="shared" si="11"/>
        <v>6.8859648</v>
      </c>
      <c r="M182" s="93"/>
      <c r="N182" s="93"/>
      <c r="O182" s="93"/>
      <c r="P182" s="93"/>
    </row>
    <row r="183" spans="1:19" s="158" customFormat="1" ht="45">
      <c r="A183" s="415" t="s">
        <v>369</v>
      </c>
      <c r="B183" s="432" t="s">
        <v>359</v>
      </c>
      <c r="C183" s="432">
        <v>3103302</v>
      </c>
      <c r="D183" s="423" t="s">
        <v>254</v>
      </c>
      <c r="E183" s="433">
        <f>MEMÓRIA!$L$311</f>
        <v>180</v>
      </c>
      <c r="F183" s="433" t="str">
        <f>MEMÓRIA!$M$311</f>
        <v>m</v>
      </c>
      <c r="G183" s="434" t="s">
        <v>218</v>
      </c>
      <c r="H183" s="666" t="s">
        <v>219</v>
      </c>
      <c r="I183" s="425">
        <v>2.6286E-3</v>
      </c>
      <c r="J183" s="435">
        <f t="shared" si="10"/>
        <v>0.47314800000000001</v>
      </c>
      <c r="K183" s="436">
        <f>DMT!$AO$17</f>
        <v>48.4</v>
      </c>
      <c r="L183" s="435">
        <f t="shared" si="11"/>
        <v>22.900363200000001</v>
      </c>
      <c r="M183" s="93"/>
      <c r="N183" s="93"/>
      <c r="O183" s="93"/>
      <c r="P183" s="93"/>
    </row>
    <row r="184" spans="1:19" s="8" customFormat="1" ht="30" customHeight="1">
      <c r="A184" s="443" t="str">
        <f>ORÇAMENTO!B164</f>
        <v>7.2.10</v>
      </c>
      <c r="B184" s="444"/>
      <c r="C184" s="443">
        <v>5914389</v>
      </c>
      <c r="D184" s="445" t="s">
        <v>16</v>
      </c>
      <c r="E184" s="446"/>
      <c r="F184" s="446"/>
      <c r="G184" s="446"/>
      <c r="H184" s="446"/>
      <c r="I184" s="446"/>
      <c r="J184" s="446"/>
      <c r="K184" s="446"/>
      <c r="L184" s="447">
        <f>ROUND(SUBTOTAL(109,L187:L189),2)</f>
        <v>4649.45</v>
      </c>
      <c r="M184" s="59"/>
      <c r="N184" s="59" t="s">
        <v>11</v>
      </c>
      <c r="O184" s="59" t="s">
        <v>11</v>
      </c>
      <c r="P184" s="7"/>
      <c r="Q184" s="7"/>
      <c r="R184" s="7"/>
      <c r="S184" s="7"/>
    </row>
    <row r="185" spans="1:19" s="158" customFormat="1" ht="15" customHeight="1">
      <c r="A185" s="612" t="s">
        <v>357</v>
      </c>
      <c r="B185" s="612" t="s">
        <v>358</v>
      </c>
      <c r="C185" s="611" t="s">
        <v>361</v>
      </c>
      <c r="D185" s="612" t="s">
        <v>355</v>
      </c>
      <c r="E185" s="612" t="s">
        <v>2</v>
      </c>
      <c r="F185" s="612" t="s">
        <v>3</v>
      </c>
      <c r="G185" s="611" t="s">
        <v>362</v>
      </c>
      <c r="H185" s="612" t="s">
        <v>356</v>
      </c>
      <c r="I185" s="611" t="s">
        <v>374</v>
      </c>
      <c r="J185" s="611" t="s">
        <v>363</v>
      </c>
      <c r="K185" s="611" t="s">
        <v>364</v>
      </c>
      <c r="L185" s="611" t="s">
        <v>365</v>
      </c>
    </row>
    <row r="186" spans="1:19" s="158" customFormat="1">
      <c r="A186" s="612"/>
      <c r="B186" s="612"/>
      <c r="C186" s="611"/>
      <c r="D186" s="612"/>
      <c r="E186" s="612"/>
      <c r="F186" s="612"/>
      <c r="G186" s="611"/>
      <c r="H186" s="612"/>
      <c r="I186" s="612"/>
      <c r="J186" s="612"/>
      <c r="K186" s="612"/>
      <c r="L186" s="612"/>
    </row>
    <row r="187" spans="1:19" s="158" customFormat="1" ht="33.75">
      <c r="A187" s="415" t="s">
        <v>369</v>
      </c>
      <c r="B187" s="432" t="s">
        <v>359</v>
      </c>
      <c r="C187" s="432">
        <v>1107892</v>
      </c>
      <c r="D187" s="423" t="s">
        <v>151</v>
      </c>
      <c r="E187" s="433">
        <f>MEMÓRIA!$L$311</f>
        <v>180</v>
      </c>
      <c r="F187" s="433" t="str">
        <f>MEMÓRIA!$M$311</f>
        <v>m</v>
      </c>
      <c r="G187" s="434" t="s">
        <v>149</v>
      </c>
      <c r="H187" s="666" t="s">
        <v>150</v>
      </c>
      <c r="I187" s="425">
        <v>0.24700260000000002</v>
      </c>
      <c r="J187" s="435">
        <f>E187*I187</f>
        <v>44.460468000000006</v>
      </c>
      <c r="K187" s="436">
        <f>DMT!$AO$17</f>
        <v>48.4</v>
      </c>
      <c r="L187" s="435">
        <f>J187*K187</f>
        <v>2151.8866512000004</v>
      </c>
      <c r="M187" s="93"/>
      <c r="N187" s="93"/>
      <c r="O187" s="93"/>
      <c r="P187" s="93"/>
    </row>
    <row r="188" spans="1:19" s="158" customFormat="1" ht="33.75">
      <c r="A188" s="415" t="s">
        <v>369</v>
      </c>
      <c r="B188" s="432" t="s">
        <v>359</v>
      </c>
      <c r="C188" s="432">
        <v>1107892</v>
      </c>
      <c r="D188" s="423" t="s">
        <v>151</v>
      </c>
      <c r="E188" s="433">
        <f>MEMÓRIA!$L$311</f>
        <v>180</v>
      </c>
      <c r="F188" s="433" t="str">
        <f>MEMÓRIA!$M$311</f>
        <v>m</v>
      </c>
      <c r="G188" s="434" t="s">
        <v>154</v>
      </c>
      <c r="H188" s="666" t="s">
        <v>155</v>
      </c>
      <c r="I188" s="425">
        <v>0.14334059999999998</v>
      </c>
      <c r="J188" s="435">
        <f>E188*I188</f>
        <v>25.801307999999999</v>
      </c>
      <c r="K188" s="436">
        <f>DMT!$AO$17</f>
        <v>48.4</v>
      </c>
      <c r="L188" s="435">
        <f>J188*K188</f>
        <v>1248.7833071999999</v>
      </c>
      <c r="M188" s="93"/>
      <c r="N188" s="93"/>
      <c r="O188" s="93"/>
      <c r="P188" s="93"/>
    </row>
    <row r="189" spans="1:19" s="158" customFormat="1" ht="33.75">
      <c r="A189" s="415" t="s">
        <v>369</v>
      </c>
      <c r="B189" s="432" t="s">
        <v>359</v>
      </c>
      <c r="C189" s="432">
        <v>1107892</v>
      </c>
      <c r="D189" s="423" t="s">
        <v>151</v>
      </c>
      <c r="E189" s="433">
        <f>MEMÓRIA!$L$311</f>
        <v>180</v>
      </c>
      <c r="F189" s="433" t="str">
        <f>MEMÓRIA!$M$311</f>
        <v>m</v>
      </c>
      <c r="G189" s="434" t="s">
        <v>17</v>
      </c>
      <c r="H189" s="666" t="s">
        <v>18</v>
      </c>
      <c r="I189" s="425">
        <v>0.14334059999999998</v>
      </c>
      <c r="J189" s="435">
        <f>E189*I189</f>
        <v>25.801307999999999</v>
      </c>
      <c r="K189" s="436">
        <f>DMT!$AO$17</f>
        <v>48.4</v>
      </c>
      <c r="L189" s="435">
        <f>J189*K189</f>
        <v>1248.7833071999999</v>
      </c>
      <c r="M189" s="93"/>
      <c r="N189" s="93"/>
      <c r="O189" s="93"/>
      <c r="P189" s="93"/>
    </row>
    <row r="190" spans="1:19" s="158" customFormat="1">
      <c r="A190" s="405"/>
      <c r="B190" s="405"/>
      <c r="C190" s="405"/>
      <c r="D190" s="405"/>
      <c r="E190" s="405"/>
      <c r="F190" s="405"/>
      <c r="G190" s="405"/>
      <c r="H190" s="405"/>
      <c r="I190" s="405"/>
      <c r="J190" s="405"/>
      <c r="K190" s="405"/>
      <c r="L190" s="405"/>
    </row>
    <row r="191" spans="1:19" s="158" customFormat="1">
      <c r="A191" s="440" t="str">
        <f>ORÇAMENTO!B165</f>
        <v>7.3</v>
      </c>
      <c r="B191" s="407" t="str">
        <f>INDEX(ORÇAMENTO!E:E,MATCH(A191,ORÇAMENTO!B:B,0))</f>
        <v>ENTRADA PARA DESCIDA DÁGUA - EDA 02 
- AREIA E BRITA  COMERCIAL</v>
      </c>
      <c r="C191" s="442"/>
      <c r="D191" s="442"/>
      <c r="E191" s="442"/>
      <c r="F191" s="442"/>
      <c r="G191" s="442"/>
      <c r="H191" s="442"/>
      <c r="I191" s="442"/>
      <c r="J191" s="442"/>
      <c r="K191" s="442"/>
      <c r="L191" s="442"/>
    </row>
    <row r="192" spans="1:19" s="8" customFormat="1" ht="30" customHeight="1">
      <c r="A192" s="409" t="str">
        <f>ORÇAMENTO!B173</f>
        <v>7.3.3</v>
      </c>
      <c r="B192" s="410"/>
      <c r="C192" s="411">
        <v>5914449</v>
      </c>
      <c r="D192" s="412" t="s">
        <v>118</v>
      </c>
      <c r="E192" s="413"/>
      <c r="F192" s="413"/>
      <c r="G192" s="413"/>
      <c r="H192" s="413"/>
      <c r="I192" s="413"/>
      <c r="J192" s="413"/>
      <c r="K192" s="413"/>
      <c r="L192" s="414">
        <f>ROUND(SUBTOTAL(109,L195:L201),2)</f>
        <v>0.49</v>
      </c>
      <c r="M192" s="59"/>
      <c r="N192" s="59" t="s">
        <v>11</v>
      </c>
      <c r="O192" s="59" t="s">
        <v>11</v>
      </c>
      <c r="P192" s="7"/>
      <c r="Q192" s="7"/>
      <c r="R192" s="7"/>
      <c r="S192" s="7"/>
    </row>
    <row r="193" spans="1:19" s="158" customFormat="1" ht="15" customHeight="1">
      <c r="A193" s="616" t="s">
        <v>357</v>
      </c>
      <c r="B193" s="616" t="s">
        <v>358</v>
      </c>
      <c r="C193" s="615" t="s">
        <v>361</v>
      </c>
      <c r="D193" s="616" t="s">
        <v>355</v>
      </c>
      <c r="E193" s="616" t="s">
        <v>2</v>
      </c>
      <c r="F193" s="616" t="s">
        <v>3</v>
      </c>
      <c r="G193" s="615" t="s">
        <v>362</v>
      </c>
      <c r="H193" s="616" t="s">
        <v>356</v>
      </c>
      <c r="I193" s="613" t="s">
        <v>374</v>
      </c>
      <c r="J193" s="615" t="s">
        <v>363</v>
      </c>
      <c r="K193" s="615" t="s">
        <v>364</v>
      </c>
      <c r="L193" s="615" t="s">
        <v>365</v>
      </c>
    </row>
    <row r="194" spans="1:19" s="158" customFormat="1">
      <c r="A194" s="616"/>
      <c r="B194" s="616"/>
      <c r="C194" s="615"/>
      <c r="D194" s="616"/>
      <c r="E194" s="616"/>
      <c r="F194" s="616"/>
      <c r="G194" s="615"/>
      <c r="H194" s="616"/>
      <c r="I194" s="614"/>
      <c r="J194" s="616"/>
      <c r="K194" s="616"/>
      <c r="L194" s="616"/>
    </row>
    <row r="195" spans="1:19" s="158" customFormat="1" ht="33.75">
      <c r="A195" s="415" t="s">
        <v>375</v>
      </c>
      <c r="B195" s="415" t="s">
        <v>359</v>
      </c>
      <c r="C195" s="415">
        <v>1107892</v>
      </c>
      <c r="D195" s="423" t="s">
        <v>151</v>
      </c>
      <c r="E195" s="433">
        <f>MEMÓRIA!$L$317</f>
        <v>4</v>
      </c>
      <c r="F195" s="433" t="str">
        <f>MEMÓRIA!$M$317</f>
        <v>und</v>
      </c>
      <c r="G195" s="434" t="s">
        <v>152</v>
      </c>
      <c r="H195" s="666" t="s">
        <v>153</v>
      </c>
      <c r="I195" s="425">
        <v>1.1900000000000001E-4</v>
      </c>
      <c r="J195" s="435">
        <f t="shared" ref="J195:J201" si="12">E195*I195</f>
        <v>4.7600000000000002E-4</v>
      </c>
      <c r="K195" s="436">
        <f>DMT!$AO$16</f>
        <v>3</v>
      </c>
      <c r="L195" s="425">
        <f t="shared" ref="L195:L201" si="13">J195*K195</f>
        <v>1.428E-3</v>
      </c>
      <c r="M195" s="93"/>
      <c r="N195" s="93"/>
      <c r="O195" s="93"/>
      <c r="P195" s="93"/>
    </row>
    <row r="196" spans="1:19" s="158" customFormat="1" ht="33.75">
      <c r="A196" s="415" t="s">
        <v>375</v>
      </c>
      <c r="B196" s="415" t="s">
        <v>359</v>
      </c>
      <c r="C196" s="415">
        <v>1107892</v>
      </c>
      <c r="D196" s="423" t="s">
        <v>151</v>
      </c>
      <c r="E196" s="433">
        <f>MEMÓRIA!$L$317</f>
        <v>4</v>
      </c>
      <c r="F196" s="433" t="str">
        <f>MEMÓRIA!$M$317</f>
        <v>und</v>
      </c>
      <c r="G196" s="434" t="s">
        <v>156</v>
      </c>
      <c r="H196" s="666" t="s">
        <v>210</v>
      </c>
      <c r="I196" s="425">
        <v>3.9501000000000008E-2</v>
      </c>
      <c r="J196" s="435">
        <f t="shared" si="12"/>
        <v>0.15800400000000003</v>
      </c>
      <c r="K196" s="436">
        <f>DMT!$AO$16</f>
        <v>3</v>
      </c>
      <c r="L196" s="425">
        <f t="shared" si="13"/>
        <v>0.4740120000000001</v>
      </c>
      <c r="M196" s="93"/>
      <c r="N196" s="93"/>
      <c r="O196" s="93"/>
      <c r="P196" s="93"/>
    </row>
    <row r="197" spans="1:19" s="158" customFormat="1" ht="45">
      <c r="A197" s="415" t="s">
        <v>375</v>
      </c>
      <c r="B197" s="415" t="s">
        <v>359</v>
      </c>
      <c r="C197" s="415">
        <v>2003842</v>
      </c>
      <c r="D197" s="423" t="s">
        <v>184</v>
      </c>
      <c r="E197" s="433">
        <f>MEMÓRIA!$L$317</f>
        <v>4</v>
      </c>
      <c r="F197" s="433" t="str">
        <f>MEMÓRIA!$M$317</f>
        <v>und</v>
      </c>
      <c r="G197" s="434" t="s">
        <v>224</v>
      </c>
      <c r="H197" s="666" t="s">
        <v>225</v>
      </c>
      <c r="I197" s="425">
        <v>1E-4</v>
      </c>
      <c r="J197" s="435">
        <f t="shared" si="12"/>
        <v>4.0000000000000002E-4</v>
      </c>
      <c r="K197" s="436">
        <f>DMT!$AO$16</f>
        <v>3</v>
      </c>
      <c r="L197" s="425">
        <f t="shared" si="13"/>
        <v>1.2000000000000001E-3</v>
      </c>
      <c r="M197" s="93"/>
      <c r="N197" s="93"/>
      <c r="O197" s="93"/>
      <c r="P197" s="93"/>
    </row>
    <row r="198" spans="1:19" s="158" customFormat="1" ht="45">
      <c r="A198" s="415" t="s">
        <v>375</v>
      </c>
      <c r="B198" s="415" t="s">
        <v>359</v>
      </c>
      <c r="C198" s="415">
        <v>3103302</v>
      </c>
      <c r="D198" s="423" t="s">
        <v>254</v>
      </c>
      <c r="E198" s="433">
        <f>MEMÓRIA!$L$317</f>
        <v>4</v>
      </c>
      <c r="F198" s="433" t="str">
        <f>MEMÓRIA!$M$317</f>
        <v>und</v>
      </c>
      <c r="G198" s="434" t="s">
        <v>211</v>
      </c>
      <c r="H198" s="666" t="s">
        <v>249</v>
      </c>
      <c r="I198" s="425">
        <v>2.0000000000000003E-6</v>
      </c>
      <c r="J198" s="435">
        <f t="shared" si="12"/>
        <v>8.0000000000000013E-6</v>
      </c>
      <c r="K198" s="436">
        <f>DMT!$AO$16</f>
        <v>3</v>
      </c>
      <c r="L198" s="425">
        <f t="shared" si="13"/>
        <v>2.4000000000000004E-5</v>
      </c>
      <c r="M198" s="93"/>
      <c r="N198" s="93"/>
      <c r="O198" s="93"/>
      <c r="P198" s="93"/>
    </row>
    <row r="199" spans="1:19" s="158" customFormat="1" ht="45">
      <c r="A199" s="415" t="s">
        <v>375</v>
      </c>
      <c r="B199" s="415" t="s">
        <v>359</v>
      </c>
      <c r="C199" s="415">
        <v>3103302</v>
      </c>
      <c r="D199" s="423" t="s">
        <v>254</v>
      </c>
      <c r="E199" s="433">
        <f>MEMÓRIA!$L$317</f>
        <v>4</v>
      </c>
      <c r="F199" s="433" t="str">
        <f>MEMÓRIA!$M$317</f>
        <v>und</v>
      </c>
      <c r="G199" s="434" t="s">
        <v>216</v>
      </c>
      <c r="H199" s="666" t="s">
        <v>217</v>
      </c>
      <c r="I199" s="425">
        <v>3.0000000000000001E-6</v>
      </c>
      <c r="J199" s="435">
        <f t="shared" si="12"/>
        <v>1.2E-5</v>
      </c>
      <c r="K199" s="436">
        <f>DMT!$AO$16</f>
        <v>3</v>
      </c>
      <c r="L199" s="425">
        <f t="shared" si="13"/>
        <v>3.6000000000000001E-5</v>
      </c>
      <c r="M199" s="93"/>
      <c r="N199" s="93"/>
      <c r="O199" s="93"/>
      <c r="P199" s="93"/>
    </row>
    <row r="200" spans="1:19" s="158" customFormat="1" ht="45">
      <c r="A200" s="415" t="s">
        <v>375</v>
      </c>
      <c r="B200" s="415" t="s">
        <v>359</v>
      </c>
      <c r="C200" s="415">
        <v>3103302</v>
      </c>
      <c r="D200" s="423" t="s">
        <v>254</v>
      </c>
      <c r="E200" s="433">
        <f>MEMÓRIA!$L$317</f>
        <v>4</v>
      </c>
      <c r="F200" s="433" t="str">
        <f>MEMÓRIA!$M$317</f>
        <v>und</v>
      </c>
      <c r="G200" s="434" t="s">
        <v>207</v>
      </c>
      <c r="H200" s="666" t="s">
        <v>248</v>
      </c>
      <c r="I200" s="425">
        <v>3.0400000000000002E-4</v>
      </c>
      <c r="J200" s="435">
        <f t="shared" si="12"/>
        <v>1.2160000000000001E-3</v>
      </c>
      <c r="K200" s="436">
        <f>DMT!$AO$16</f>
        <v>3</v>
      </c>
      <c r="L200" s="425">
        <f t="shared" si="13"/>
        <v>3.6480000000000002E-3</v>
      </c>
      <c r="M200" s="93"/>
      <c r="N200" s="93"/>
      <c r="O200" s="93"/>
      <c r="P200" s="93"/>
    </row>
    <row r="201" spans="1:19" s="158" customFormat="1" ht="45">
      <c r="A201" s="415" t="s">
        <v>375</v>
      </c>
      <c r="B201" s="415" t="s">
        <v>359</v>
      </c>
      <c r="C201" s="415">
        <v>3103302</v>
      </c>
      <c r="D201" s="423" t="s">
        <v>254</v>
      </c>
      <c r="E201" s="433">
        <f>MEMÓRIA!$L$317</f>
        <v>4</v>
      </c>
      <c r="F201" s="433" t="str">
        <f>MEMÓRIA!$M$317</f>
        <v>und</v>
      </c>
      <c r="G201" s="434" t="s">
        <v>218</v>
      </c>
      <c r="H201" s="666" t="s">
        <v>219</v>
      </c>
      <c r="I201" s="425">
        <v>1.011E-3</v>
      </c>
      <c r="J201" s="435">
        <f t="shared" si="12"/>
        <v>4.0439999999999999E-3</v>
      </c>
      <c r="K201" s="436">
        <f>DMT!$AO$16</f>
        <v>3</v>
      </c>
      <c r="L201" s="425">
        <f t="shared" si="13"/>
        <v>1.2132E-2</v>
      </c>
      <c r="M201" s="93"/>
      <c r="N201" s="93"/>
      <c r="O201" s="93"/>
      <c r="P201" s="93"/>
    </row>
    <row r="202" spans="1:19" s="8" customFormat="1" ht="30" customHeight="1">
      <c r="A202" s="409" t="str">
        <f>ORÇAMENTO!B174</f>
        <v>7.3.4</v>
      </c>
      <c r="B202" s="410"/>
      <c r="C202" s="411">
        <v>5914359</v>
      </c>
      <c r="D202" s="412" t="s">
        <v>116</v>
      </c>
      <c r="E202" s="413"/>
      <c r="F202" s="413"/>
      <c r="G202" s="413"/>
      <c r="H202" s="413"/>
      <c r="I202" s="413"/>
      <c r="J202" s="413"/>
      <c r="K202" s="413"/>
      <c r="L202" s="414">
        <f>ROUND(SUBTOTAL(109,L205:L207),2)</f>
        <v>3.45</v>
      </c>
      <c r="M202" s="59"/>
      <c r="N202" s="59" t="s">
        <v>11</v>
      </c>
      <c r="O202" s="59" t="s">
        <v>11</v>
      </c>
      <c r="P202" s="7"/>
      <c r="Q202" s="7"/>
      <c r="R202" s="7"/>
      <c r="S202" s="7"/>
    </row>
    <row r="203" spans="1:19" s="158" customFormat="1" ht="15" customHeight="1">
      <c r="A203" s="614" t="s">
        <v>357</v>
      </c>
      <c r="B203" s="614" t="s">
        <v>358</v>
      </c>
      <c r="C203" s="613" t="s">
        <v>361</v>
      </c>
      <c r="D203" s="614" t="s">
        <v>355</v>
      </c>
      <c r="E203" s="614" t="s">
        <v>2</v>
      </c>
      <c r="F203" s="614" t="s">
        <v>3</v>
      </c>
      <c r="G203" s="613" t="s">
        <v>362</v>
      </c>
      <c r="H203" s="614" t="s">
        <v>356</v>
      </c>
      <c r="I203" s="613" t="s">
        <v>374</v>
      </c>
      <c r="J203" s="613" t="s">
        <v>363</v>
      </c>
      <c r="K203" s="613" t="s">
        <v>364</v>
      </c>
      <c r="L203" s="613" t="s">
        <v>365</v>
      </c>
    </row>
    <row r="204" spans="1:19" s="158" customFormat="1">
      <c r="A204" s="614"/>
      <c r="B204" s="614"/>
      <c r="C204" s="613"/>
      <c r="D204" s="614"/>
      <c r="E204" s="614"/>
      <c r="F204" s="614"/>
      <c r="G204" s="613"/>
      <c r="H204" s="614"/>
      <c r="I204" s="614"/>
      <c r="J204" s="614"/>
      <c r="K204" s="614"/>
      <c r="L204" s="614"/>
    </row>
    <row r="205" spans="1:19" s="158" customFormat="1" ht="33.75">
      <c r="A205" s="415" t="s">
        <v>375</v>
      </c>
      <c r="B205" s="415" t="s">
        <v>359</v>
      </c>
      <c r="C205" s="415">
        <v>1107892</v>
      </c>
      <c r="D205" s="423" t="s">
        <v>151</v>
      </c>
      <c r="E205" s="433">
        <f>MEMÓRIA!$L$317</f>
        <v>4</v>
      </c>
      <c r="F205" s="433" t="str">
        <f>MEMÓRIA!$M$317</f>
        <v>und</v>
      </c>
      <c r="G205" s="434" t="s">
        <v>149</v>
      </c>
      <c r="H205" s="666" t="s">
        <v>150</v>
      </c>
      <c r="I205" s="425">
        <v>0.13300140000000002</v>
      </c>
      <c r="J205" s="435">
        <f>E205*I205</f>
        <v>0.53200560000000008</v>
      </c>
      <c r="K205" s="436">
        <f>DMT!$AO$16</f>
        <v>3</v>
      </c>
      <c r="L205" s="425">
        <f>J205*K205</f>
        <v>1.5960168000000001</v>
      </c>
      <c r="M205" s="93"/>
      <c r="N205" s="93"/>
      <c r="O205" s="93"/>
      <c r="P205" s="93"/>
    </row>
    <row r="206" spans="1:19" s="158" customFormat="1" ht="33.75">
      <c r="A206" s="415" t="s">
        <v>375</v>
      </c>
      <c r="B206" s="415" t="s">
        <v>359</v>
      </c>
      <c r="C206" s="415">
        <v>1107892</v>
      </c>
      <c r="D206" s="423" t="s">
        <v>151</v>
      </c>
      <c r="E206" s="433">
        <f>MEMÓRIA!$L$317</f>
        <v>4</v>
      </c>
      <c r="F206" s="433" t="str">
        <f>MEMÓRIA!$M$317</f>
        <v>und</v>
      </c>
      <c r="G206" s="434" t="s">
        <v>154</v>
      </c>
      <c r="H206" s="666" t="s">
        <v>155</v>
      </c>
      <c r="I206" s="425">
        <v>7.7183399999999999E-2</v>
      </c>
      <c r="J206" s="435">
        <f>E206*I206</f>
        <v>0.3087336</v>
      </c>
      <c r="K206" s="436">
        <f>DMT!$AO$16</f>
        <v>3</v>
      </c>
      <c r="L206" s="425">
        <f>J206*K206</f>
        <v>0.92620079999999994</v>
      </c>
      <c r="M206" s="93"/>
      <c r="N206" s="93"/>
      <c r="O206" s="93"/>
      <c r="P206" s="93"/>
    </row>
    <row r="207" spans="1:19" s="158" customFormat="1" ht="33.75">
      <c r="A207" s="415" t="s">
        <v>375</v>
      </c>
      <c r="B207" s="415" t="s">
        <v>359</v>
      </c>
      <c r="C207" s="415">
        <v>1107892</v>
      </c>
      <c r="D207" s="423" t="s">
        <v>151</v>
      </c>
      <c r="E207" s="433">
        <f>MEMÓRIA!$L$317</f>
        <v>4</v>
      </c>
      <c r="F207" s="433" t="str">
        <f>MEMÓRIA!$M$317</f>
        <v>und</v>
      </c>
      <c r="G207" s="434" t="s">
        <v>17</v>
      </c>
      <c r="H207" s="666" t="s">
        <v>18</v>
      </c>
      <c r="I207" s="425">
        <v>7.7183399999999999E-2</v>
      </c>
      <c r="J207" s="435">
        <f>E207*I207</f>
        <v>0.3087336</v>
      </c>
      <c r="K207" s="436">
        <f>DMT!$AO$16</f>
        <v>3</v>
      </c>
      <c r="L207" s="425">
        <f>J207*K207</f>
        <v>0.92620079999999994</v>
      </c>
      <c r="M207" s="93"/>
      <c r="N207" s="93"/>
      <c r="O207" s="93"/>
      <c r="P207" s="93"/>
    </row>
    <row r="208" spans="1:19" s="8" customFormat="1" ht="30" customHeight="1">
      <c r="A208" s="409" t="str">
        <f>ORÇAMENTO!B175</f>
        <v>7.3.5</v>
      </c>
      <c r="B208" s="427"/>
      <c r="C208" s="428">
        <v>5914479</v>
      </c>
      <c r="D208" s="429" t="s">
        <v>157</v>
      </c>
      <c r="E208" s="430"/>
      <c r="F208" s="430"/>
      <c r="G208" s="430"/>
      <c r="H208" s="430"/>
      <c r="I208" s="430"/>
      <c r="J208" s="430"/>
      <c r="K208" s="430"/>
      <c r="L208" s="431">
        <f>ROUND(SUBTOTAL(109,L211:L217),2)</f>
        <v>7.95</v>
      </c>
      <c r="M208" s="59"/>
      <c r="N208" s="59" t="s">
        <v>11</v>
      </c>
      <c r="O208" s="59" t="s">
        <v>11</v>
      </c>
      <c r="P208" s="7"/>
      <c r="Q208" s="7"/>
      <c r="R208" s="7"/>
      <c r="S208" s="7"/>
    </row>
    <row r="209" spans="1:19" s="158" customFormat="1" ht="15" customHeight="1">
      <c r="A209" s="612" t="s">
        <v>357</v>
      </c>
      <c r="B209" s="612" t="s">
        <v>358</v>
      </c>
      <c r="C209" s="611" t="s">
        <v>361</v>
      </c>
      <c r="D209" s="612" t="s">
        <v>355</v>
      </c>
      <c r="E209" s="612" t="s">
        <v>2</v>
      </c>
      <c r="F209" s="612" t="s">
        <v>3</v>
      </c>
      <c r="G209" s="611" t="s">
        <v>362</v>
      </c>
      <c r="H209" s="612" t="s">
        <v>356</v>
      </c>
      <c r="I209" s="613" t="s">
        <v>374</v>
      </c>
      <c r="J209" s="611" t="s">
        <v>363</v>
      </c>
      <c r="K209" s="611" t="s">
        <v>364</v>
      </c>
      <c r="L209" s="611" t="s">
        <v>365</v>
      </c>
    </row>
    <row r="210" spans="1:19" s="158" customFormat="1">
      <c r="A210" s="612"/>
      <c r="B210" s="612"/>
      <c r="C210" s="611"/>
      <c r="D210" s="612"/>
      <c r="E210" s="612"/>
      <c r="F210" s="612"/>
      <c r="G210" s="611"/>
      <c r="H210" s="612"/>
      <c r="I210" s="614"/>
      <c r="J210" s="612"/>
      <c r="K210" s="612"/>
      <c r="L210" s="612"/>
    </row>
    <row r="211" spans="1:19" s="158" customFormat="1" ht="33.75">
      <c r="A211" s="415" t="s">
        <v>369</v>
      </c>
      <c r="B211" s="415" t="s">
        <v>359</v>
      </c>
      <c r="C211" s="415">
        <v>1107892</v>
      </c>
      <c r="D211" s="423" t="s">
        <v>151</v>
      </c>
      <c r="E211" s="433">
        <f>MEMÓRIA!$L$317</f>
        <v>4</v>
      </c>
      <c r="F211" s="433" t="str">
        <f>MEMÓRIA!$M$317</f>
        <v>und</v>
      </c>
      <c r="G211" s="434" t="s">
        <v>152</v>
      </c>
      <c r="H211" s="666" t="s">
        <v>153</v>
      </c>
      <c r="I211" s="425">
        <v>1.1900000000000001E-4</v>
      </c>
      <c r="J211" s="435">
        <f t="shared" ref="J211:J217" si="14">E211*I211</f>
        <v>4.7600000000000002E-4</v>
      </c>
      <c r="K211" s="436">
        <f>DMT!$AO$17</f>
        <v>48.4</v>
      </c>
      <c r="L211" s="425">
        <f t="shared" ref="L211:L217" si="15">J211*K211</f>
        <v>2.3038400000000001E-2</v>
      </c>
      <c r="M211" s="93"/>
      <c r="N211" s="93"/>
      <c r="O211" s="93"/>
      <c r="P211" s="93"/>
    </row>
    <row r="212" spans="1:19" s="158" customFormat="1" ht="33.75">
      <c r="A212" s="415" t="s">
        <v>369</v>
      </c>
      <c r="B212" s="415" t="s">
        <v>359</v>
      </c>
      <c r="C212" s="415">
        <v>1107892</v>
      </c>
      <c r="D212" s="423" t="s">
        <v>151</v>
      </c>
      <c r="E212" s="433">
        <f>MEMÓRIA!$L$317</f>
        <v>4</v>
      </c>
      <c r="F212" s="433" t="str">
        <f>MEMÓRIA!$M$317</f>
        <v>und</v>
      </c>
      <c r="G212" s="434" t="s">
        <v>156</v>
      </c>
      <c r="H212" s="666" t="s">
        <v>210</v>
      </c>
      <c r="I212" s="425">
        <v>3.9501000000000008E-2</v>
      </c>
      <c r="J212" s="435">
        <f t="shared" si="14"/>
        <v>0.15800400000000003</v>
      </c>
      <c r="K212" s="436">
        <f>DMT!$AO$17</f>
        <v>48.4</v>
      </c>
      <c r="L212" s="425">
        <f t="shared" si="15"/>
        <v>7.6473936000000018</v>
      </c>
      <c r="M212" s="93"/>
      <c r="N212" s="93"/>
      <c r="O212" s="93"/>
      <c r="P212" s="93"/>
    </row>
    <row r="213" spans="1:19" s="158" customFormat="1" ht="45">
      <c r="A213" s="415" t="s">
        <v>369</v>
      </c>
      <c r="B213" s="415" t="s">
        <v>359</v>
      </c>
      <c r="C213" s="415">
        <v>2003842</v>
      </c>
      <c r="D213" s="423" t="s">
        <v>184</v>
      </c>
      <c r="E213" s="433">
        <f>MEMÓRIA!$L$317</f>
        <v>4</v>
      </c>
      <c r="F213" s="433" t="str">
        <f>MEMÓRIA!$M$317</f>
        <v>und</v>
      </c>
      <c r="G213" s="434" t="s">
        <v>224</v>
      </c>
      <c r="H213" s="666" t="s">
        <v>225</v>
      </c>
      <c r="I213" s="425">
        <v>1E-4</v>
      </c>
      <c r="J213" s="435">
        <f t="shared" si="14"/>
        <v>4.0000000000000002E-4</v>
      </c>
      <c r="K213" s="436">
        <f>DMT!$AO$17</f>
        <v>48.4</v>
      </c>
      <c r="L213" s="425">
        <f t="shared" si="15"/>
        <v>1.9359999999999999E-2</v>
      </c>
      <c r="M213" s="93"/>
      <c r="N213" s="93"/>
      <c r="O213" s="93"/>
      <c r="P213" s="93"/>
    </row>
    <row r="214" spans="1:19" s="158" customFormat="1" ht="45">
      <c r="A214" s="415" t="s">
        <v>369</v>
      </c>
      <c r="B214" s="438" t="s">
        <v>359</v>
      </c>
      <c r="C214" s="415">
        <v>3103302</v>
      </c>
      <c r="D214" s="423" t="s">
        <v>254</v>
      </c>
      <c r="E214" s="433">
        <f>MEMÓRIA!$L$317</f>
        <v>4</v>
      </c>
      <c r="F214" s="433" t="str">
        <f>MEMÓRIA!$M$317</f>
        <v>und</v>
      </c>
      <c r="G214" s="434" t="s">
        <v>211</v>
      </c>
      <c r="H214" s="666" t="s">
        <v>249</v>
      </c>
      <c r="I214" s="425">
        <v>2.0000000000000003E-6</v>
      </c>
      <c r="J214" s="449">
        <f t="shared" si="14"/>
        <v>8.0000000000000013E-6</v>
      </c>
      <c r="K214" s="436">
        <f>DMT!$AO$17</f>
        <v>48.4</v>
      </c>
      <c r="L214" s="439">
        <f t="shared" si="15"/>
        <v>3.8720000000000003E-4</v>
      </c>
      <c r="M214" s="93"/>
      <c r="N214" s="93"/>
      <c r="O214" s="93"/>
      <c r="P214" s="93"/>
    </row>
    <row r="215" spans="1:19" s="158" customFormat="1" ht="45">
      <c r="A215" s="415" t="s">
        <v>369</v>
      </c>
      <c r="B215" s="438" t="s">
        <v>359</v>
      </c>
      <c r="C215" s="415">
        <v>3103302</v>
      </c>
      <c r="D215" s="423" t="s">
        <v>254</v>
      </c>
      <c r="E215" s="433">
        <f>MEMÓRIA!$L$317</f>
        <v>4</v>
      </c>
      <c r="F215" s="433" t="str">
        <f>MEMÓRIA!$M$317</f>
        <v>und</v>
      </c>
      <c r="G215" s="434" t="s">
        <v>216</v>
      </c>
      <c r="H215" s="666" t="s">
        <v>217</v>
      </c>
      <c r="I215" s="425">
        <v>3.0000000000000001E-6</v>
      </c>
      <c r="J215" s="449">
        <f t="shared" si="14"/>
        <v>1.2E-5</v>
      </c>
      <c r="K215" s="436">
        <f>DMT!$AO$17</f>
        <v>48.4</v>
      </c>
      <c r="L215" s="439">
        <f t="shared" si="15"/>
        <v>5.8080000000000002E-4</v>
      </c>
      <c r="M215" s="93"/>
      <c r="N215" s="93"/>
      <c r="O215" s="93"/>
      <c r="P215" s="93"/>
    </row>
    <row r="216" spans="1:19" s="158" customFormat="1" ht="45">
      <c r="A216" s="415" t="s">
        <v>369</v>
      </c>
      <c r="B216" s="438" t="s">
        <v>359</v>
      </c>
      <c r="C216" s="415">
        <v>3103302</v>
      </c>
      <c r="D216" s="423" t="s">
        <v>254</v>
      </c>
      <c r="E216" s="433">
        <f>MEMÓRIA!$L$317</f>
        <v>4</v>
      </c>
      <c r="F216" s="433" t="str">
        <f>MEMÓRIA!$M$317</f>
        <v>und</v>
      </c>
      <c r="G216" s="434" t="s">
        <v>207</v>
      </c>
      <c r="H216" s="666" t="s">
        <v>248</v>
      </c>
      <c r="I216" s="425">
        <v>3.0400000000000002E-4</v>
      </c>
      <c r="J216" s="449">
        <f t="shared" si="14"/>
        <v>1.2160000000000001E-3</v>
      </c>
      <c r="K216" s="436">
        <f>DMT!$AO$17</f>
        <v>48.4</v>
      </c>
      <c r="L216" s="439">
        <f t="shared" si="15"/>
        <v>5.8854400000000001E-2</v>
      </c>
      <c r="M216" s="93"/>
      <c r="N216" s="93"/>
      <c r="O216" s="93"/>
      <c r="P216" s="93"/>
    </row>
    <row r="217" spans="1:19" s="158" customFormat="1" ht="45">
      <c r="A217" s="415" t="s">
        <v>369</v>
      </c>
      <c r="B217" s="438" t="s">
        <v>359</v>
      </c>
      <c r="C217" s="415">
        <v>3103302</v>
      </c>
      <c r="D217" s="423" t="s">
        <v>254</v>
      </c>
      <c r="E217" s="433">
        <f>MEMÓRIA!$L$317</f>
        <v>4</v>
      </c>
      <c r="F217" s="433" t="str">
        <f>MEMÓRIA!$M$317</f>
        <v>und</v>
      </c>
      <c r="G217" s="434" t="s">
        <v>218</v>
      </c>
      <c r="H217" s="666" t="s">
        <v>219</v>
      </c>
      <c r="I217" s="425">
        <v>1.011E-3</v>
      </c>
      <c r="J217" s="449">
        <f t="shared" si="14"/>
        <v>4.0439999999999999E-3</v>
      </c>
      <c r="K217" s="436">
        <f>DMT!$AO$17</f>
        <v>48.4</v>
      </c>
      <c r="L217" s="439">
        <f t="shared" si="15"/>
        <v>0.19572959999999998</v>
      </c>
      <c r="M217" s="93"/>
      <c r="N217" s="93"/>
      <c r="O217" s="93"/>
      <c r="P217" s="93"/>
    </row>
    <row r="218" spans="1:19" s="8" customFormat="1" ht="30" customHeight="1">
      <c r="A218" s="409" t="str">
        <f>ORÇAMENTO!B176</f>
        <v>7.3.6</v>
      </c>
      <c r="B218" s="410"/>
      <c r="C218" s="411">
        <v>5914389</v>
      </c>
      <c r="D218" s="412" t="s">
        <v>16</v>
      </c>
      <c r="E218" s="413"/>
      <c r="F218" s="413"/>
      <c r="G218" s="413"/>
      <c r="H218" s="413"/>
      <c r="I218" s="413"/>
      <c r="J218" s="413"/>
      <c r="K218" s="413"/>
      <c r="L218" s="414">
        <f>ROUND(SUBTOTAL(109,L221:L223),2)</f>
        <v>55.63</v>
      </c>
      <c r="M218" s="59"/>
      <c r="N218" s="59" t="s">
        <v>11</v>
      </c>
      <c r="O218" s="59" t="s">
        <v>11</v>
      </c>
      <c r="P218" s="7"/>
      <c r="Q218" s="7"/>
      <c r="R218" s="7"/>
      <c r="S218" s="7"/>
    </row>
    <row r="219" spans="1:19" s="158" customFormat="1" ht="15" customHeight="1">
      <c r="A219" s="612" t="s">
        <v>357</v>
      </c>
      <c r="B219" s="612" t="s">
        <v>358</v>
      </c>
      <c r="C219" s="611" t="s">
        <v>361</v>
      </c>
      <c r="D219" s="612" t="s">
        <v>355</v>
      </c>
      <c r="E219" s="612" t="s">
        <v>2</v>
      </c>
      <c r="F219" s="612" t="s">
        <v>3</v>
      </c>
      <c r="G219" s="611" t="s">
        <v>362</v>
      </c>
      <c r="H219" s="612" t="s">
        <v>356</v>
      </c>
      <c r="I219" s="613" t="s">
        <v>374</v>
      </c>
      <c r="J219" s="611" t="s">
        <v>363</v>
      </c>
      <c r="K219" s="611" t="s">
        <v>364</v>
      </c>
      <c r="L219" s="611" t="s">
        <v>365</v>
      </c>
    </row>
    <row r="220" spans="1:19" s="158" customFormat="1">
      <c r="A220" s="612"/>
      <c r="B220" s="612"/>
      <c r="C220" s="611"/>
      <c r="D220" s="612"/>
      <c r="E220" s="612"/>
      <c r="F220" s="612"/>
      <c r="G220" s="611"/>
      <c r="H220" s="612"/>
      <c r="I220" s="614"/>
      <c r="J220" s="612"/>
      <c r="K220" s="612"/>
      <c r="L220" s="612"/>
    </row>
    <row r="221" spans="1:19" s="158" customFormat="1" ht="33.75">
      <c r="A221" s="415" t="s">
        <v>369</v>
      </c>
      <c r="B221" s="415" t="s">
        <v>359</v>
      </c>
      <c r="C221" s="415">
        <v>1107892</v>
      </c>
      <c r="D221" s="423" t="s">
        <v>151</v>
      </c>
      <c r="E221" s="433">
        <f>MEMÓRIA!$L$317</f>
        <v>4</v>
      </c>
      <c r="F221" s="433" t="str">
        <f>MEMÓRIA!$M$317</f>
        <v>und</v>
      </c>
      <c r="G221" s="434" t="s">
        <v>149</v>
      </c>
      <c r="H221" s="666" t="s">
        <v>150</v>
      </c>
      <c r="I221" s="425">
        <v>0.13300140000000002</v>
      </c>
      <c r="J221" s="435">
        <f>E221*I221</f>
        <v>0.53200560000000008</v>
      </c>
      <c r="K221" s="436">
        <f>DMT!$AO$17</f>
        <v>48.4</v>
      </c>
      <c r="L221" s="425">
        <f>J221*K221</f>
        <v>25.749071040000004</v>
      </c>
      <c r="M221" s="93"/>
      <c r="N221" s="93"/>
      <c r="O221" s="93"/>
      <c r="P221" s="93"/>
    </row>
    <row r="222" spans="1:19" s="158" customFormat="1" ht="33.75">
      <c r="A222" s="415" t="s">
        <v>369</v>
      </c>
      <c r="B222" s="415" t="s">
        <v>359</v>
      </c>
      <c r="C222" s="415">
        <v>1107892</v>
      </c>
      <c r="D222" s="423" t="s">
        <v>151</v>
      </c>
      <c r="E222" s="433">
        <f>MEMÓRIA!$L$317</f>
        <v>4</v>
      </c>
      <c r="F222" s="433" t="str">
        <f>MEMÓRIA!$M$317</f>
        <v>und</v>
      </c>
      <c r="G222" s="434" t="s">
        <v>154</v>
      </c>
      <c r="H222" s="666" t="s">
        <v>155</v>
      </c>
      <c r="I222" s="425">
        <v>7.7183399999999999E-2</v>
      </c>
      <c r="J222" s="435">
        <f>E222*I222</f>
        <v>0.3087336</v>
      </c>
      <c r="K222" s="436">
        <f>DMT!$AO$17</f>
        <v>48.4</v>
      </c>
      <c r="L222" s="425">
        <f>J222*K222</f>
        <v>14.94270624</v>
      </c>
      <c r="M222" s="93"/>
      <c r="N222" s="93"/>
      <c r="O222" s="93"/>
      <c r="P222" s="93"/>
    </row>
    <row r="223" spans="1:19" s="158" customFormat="1" ht="33.75">
      <c r="A223" s="415" t="s">
        <v>369</v>
      </c>
      <c r="B223" s="415" t="s">
        <v>359</v>
      </c>
      <c r="C223" s="415">
        <v>1107892</v>
      </c>
      <c r="D223" s="423" t="s">
        <v>151</v>
      </c>
      <c r="E223" s="433">
        <f>MEMÓRIA!$L$317</f>
        <v>4</v>
      </c>
      <c r="F223" s="433" t="str">
        <f>MEMÓRIA!$M$317</f>
        <v>und</v>
      </c>
      <c r="G223" s="434" t="s">
        <v>17</v>
      </c>
      <c r="H223" s="666" t="s">
        <v>18</v>
      </c>
      <c r="I223" s="425">
        <v>7.7183399999999999E-2</v>
      </c>
      <c r="J223" s="435">
        <f>E223*I223</f>
        <v>0.3087336</v>
      </c>
      <c r="K223" s="436">
        <f>DMT!$AO$17</f>
        <v>48.4</v>
      </c>
      <c r="L223" s="425">
        <f>J223*K223</f>
        <v>14.94270624</v>
      </c>
      <c r="M223" s="93"/>
      <c r="N223" s="93"/>
      <c r="O223" s="93"/>
      <c r="P223" s="93"/>
    </row>
    <row r="224" spans="1:19" s="158" customFormat="1">
      <c r="A224" s="405"/>
      <c r="B224" s="405"/>
      <c r="C224" s="405"/>
      <c r="D224" s="405"/>
      <c r="E224" s="405"/>
      <c r="F224" s="405"/>
      <c r="G224" s="405"/>
      <c r="H224" s="405"/>
      <c r="I224" s="405"/>
      <c r="J224" s="405"/>
      <c r="K224" s="405"/>
      <c r="L224" s="405"/>
    </row>
    <row r="225" spans="1:19" s="158" customFormat="1">
      <c r="A225" s="440" t="str">
        <f>ORÇAMENTO!B177</f>
        <v>7.4</v>
      </c>
      <c r="B225" s="407" t="str">
        <f>INDEX(ORÇAMENTO!E:E,MATCH(A225,ORÇAMENTO!B:B,0))</f>
        <v>CANALETA TRAPEZOIDAL DE CONCRETO (40x50) - AREIA E BRITA  COMERCIAL</v>
      </c>
      <c r="C225" s="442"/>
      <c r="D225" s="442"/>
      <c r="E225" s="442"/>
      <c r="F225" s="442"/>
      <c r="G225" s="442"/>
      <c r="H225" s="442"/>
      <c r="I225" s="442"/>
      <c r="J225" s="442"/>
      <c r="K225" s="442"/>
      <c r="L225" s="442"/>
    </row>
    <row r="226" spans="1:19" s="8" customFormat="1" ht="30" customHeight="1">
      <c r="A226" s="409" t="str">
        <f>ORÇAMENTO!A189</f>
        <v>7.4.6</v>
      </c>
      <c r="B226" s="410"/>
      <c r="C226" s="411">
        <v>5914449</v>
      </c>
      <c r="D226" s="412" t="s">
        <v>118</v>
      </c>
      <c r="E226" s="413"/>
      <c r="F226" s="413"/>
      <c r="G226" s="413"/>
      <c r="H226" s="413"/>
      <c r="I226" s="413"/>
      <c r="J226" s="413"/>
      <c r="K226" s="413"/>
      <c r="L226" s="414">
        <f>ROUND(SUBTOTAL(109,L229:L232),2)</f>
        <v>18.07</v>
      </c>
      <c r="M226" s="59"/>
      <c r="N226" s="59" t="s">
        <v>11</v>
      </c>
      <c r="O226" s="59" t="s">
        <v>11</v>
      </c>
      <c r="P226" s="7"/>
      <c r="Q226" s="7"/>
      <c r="R226" s="7"/>
      <c r="S226" s="7"/>
    </row>
    <row r="227" spans="1:19" s="158" customFormat="1" ht="15" customHeight="1">
      <c r="A227" s="616" t="s">
        <v>357</v>
      </c>
      <c r="B227" s="616" t="s">
        <v>358</v>
      </c>
      <c r="C227" s="615" t="s">
        <v>361</v>
      </c>
      <c r="D227" s="616" t="s">
        <v>355</v>
      </c>
      <c r="E227" s="616" t="s">
        <v>2</v>
      </c>
      <c r="F227" s="616" t="s">
        <v>3</v>
      </c>
      <c r="G227" s="615" t="s">
        <v>362</v>
      </c>
      <c r="H227" s="616" t="s">
        <v>356</v>
      </c>
      <c r="I227" s="613" t="s">
        <v>374</v>
      </c>
      <c r="J227" s="615" t="s">
        <v>363</v>
      </c>
      <c r="K227" s="615" t="s">
        <v>364</v>
      </c>
      <c r="L227" s="615" t="s">
        <v>365</v>
      </c>
    </row>
    <row r="228" spans="1:19" s="158" customFormat="1">
      <c r="A228" s="616"/>
      <c r="B228" s="616"/>
      <c r="C228" s="615"/>
      <c r="D228" s="616"/>
      <c r="E228" s="616"/>
      <c r="F228" s="616"/>
      <c r="G228" s="615"/>
      <c r="H228" s="616"/>
      <c r="I228" s="614"/>
      <c r="J228" s="616"/>
      <c r="K228" s="616"/>
      <c r="L228" s="616"/>
    </row>
    <row r="229" spans="1:19" s="158" customFormat="1" ht="33.75">
      <c r="A229" s="415" t="s">
        <v>375</v>
      </c>
      <c r="B229" s="415" t="s">
        <v>359</v>
      </c>
      <c r="C229" s="415">
        <v>1107892</v>
      </c>
      <c r="D229" s="423" t="s">
        <v>151</v>
      </c>
      <c r="E229" s="433">
        <f>MEMÓRIA!$L$321</f>
        <v>147</v>
      </c>
      <c r="F229" s="433" t="str">
        <f>MEMÓRIA!$M$321</f>
        <v>m</v>
      </c>
      <c r="G229" s="434" t="s">
        <v>152</v>
      </c>
      <c r="H229" s="666" t="s">
        <v>153</v>
      </c>
      <c r="I229" s="425">
        <v>1.1900000000000001E-4</v>
      </c>
      <c r="J229" s="435">
        <f>E229*I229</f>
        <v>1.7493000000000002E-2</v>
      </c>
      <c r="K229" s="436">
        <f>DMT!$AO$16</f>
        <v>3</v>
      </c>
      <c r="L229" s="425">
        <f>J229*K229</f>
        <v>5.2479000000000005E-2</v>
      </c>
      <c r="M229" s="93"/>
      <c r="N229" s="93"/>
      <c r="O229" s="93"/>
      <c r="P229" s="93"/>
    </row>
    <row r="230" spans="1:19" s="158" customFormat="1" ht="33.75">
      <c r="A230" s="415" t="s">
        <v>375</v>
      </c>
      <c r="B230" s="415" t="s">
        <v>359</v>
      </c>
      <c r="C230" s="415">
        <v>1107892</v>
      </c>
      <c r="D230" s="423" t="s">
        <v>151</v>
      </c>
      <c r="E230" s="433">
        <f>MEMÓRIA!$L$321</f>
        <v>147</v>
      </c>
      <c r="F230" s="433" t="str">
        <f>MEMÓRIA!$M$321</f>
        <v>m</v>
      </c>
      <c r="G230" s="434" t="s">
        <v>156</v>
      </c>
      <c r="H230" s="666" t="s">
        <v>210</v>
      </c>
      <c r="I230" s="425">
        <v>3.9501000000000008E-2</v>
      </c>
      <c r="J230" s="435">
        <f>E230*I230</f>
        <v>5.8066470000000017</v>
      </c>
      <c r="K230" s="436">
        <f>DMT!$AO$16</f>
        <v>3</v>
      </c>
      <c r="L230" s="425">
        <f>J230*K230</f>
        <v>17.419941000000005</v>
      </c>
      <c r="M230" s="93"/>
      <c r="N230" s="93"/>
      <c r="O230" s="93"/>
      <c r="P230" s="93"/>
    </row>
    <row r="231" spans="1:19" s="158" customFormat="1" ht="45">
      <c r="A231" s="415" t="s">
        <v>375</v>
      </c>
      <c r="B231" s="415" t="s">
        <v>359</v>
      </c>
      <c r="C231" s="415">
        <v>2003842</v>
      </c>
      <c r="D231" s="423" t="s">
        <v>184</v>
      </c>
      <c r="E231" s="433">
        <f>MEMÓRIA!$L$321</f>
        <v>147</v>
      </c>
      <c r="F231" s="433" t="str">
        <f>MEMÓRIA!$M$321</f>
        <v>m</v>
      </c>
      <c r="G231" s="434" t="s">
        <v>224</v>
      </c>
      <c r="H231" s="666" t="s">
        <v>225</v>
      </c>
      <c r="I231" s="425">
        <v>1E-4</v>
      </c>
      <c r="J231" s="435">
        <f>E231*I231</f>
        <v>1.4700000000000001E-2</v>
      </c>
      <c r="K231" s="436">
        <f>DMT!$AO$16</f>
        <v>3</v>
      </c>
      <c r="L231" s="425">
        <f>J231*K231</f>
        <v>4.41E-2</v>
      </c>
      <c r="M231" s="93"/>
      <c r="N231" s="93"/>
      <c r="O231" s="93"/>
      <c r="P231" s="93"/>
    </row>
    <row r="232" spans="1:19" s="158" customFormat="1" ht="45" customHeight="1">
      <c r="A232" s="415" t="s">
        <v>375</v>
      </c>
      <c r="B232" s="415" t="s">
        <v>359</v>
      </c>
      <c r="C232" s="415">
        <v>3108018</v>
      </c>
      <c r="D232" s="423" t="s">
        <v>186</v>
      </c>
      <c r="E232" s="433">
        <f>MEMÓRIA!$L$321</f>
        <v>147</v>
      </c>
      <c r="F232" s="433" t="str">
        <f>MEMÓRIA!$M$321</f>
        <v>m</v>
      </c>
      <c r="G232" s="434" t="s">
        <v>218</v>
      </c>
      <c r="H232" s="666" t="s">
        <v>219</v>
      </c>
      <c r="I232" s="425">
        <v>1.2512000000000001E-3</v>
      </c>
      <c r="J232" s="435">
        <f>E232*I232</f>
        <v>0.18392640000000002</v>
      </c>
      <c r="K232" s="436">
        <f>DMT!$AO$16</f>
        <v>3</v>
      </c>
      <c r="L232" s="425">
        <f>J232*K232</f>
        <v>0.55177920000000003</v>
      </c>
      <c r="M232" s="93"/>
      <c r="N232" s="93"/>
      <c r="O232" s="93"/>
      <c r="P232" s="93"/>
    </row>
    <row r="233" spans="1:19" s="8" customFormat="1" ht="30" customHeight="1">
      <c r="A233" s="409" t="str">
        <f>ORÇAMENTO!A190</f>
        <v>7.4.7</v>
      </c>
      <c r="B233" s="410"/>
      <c r="C233" s="411">
        <v>5914359</v>
      </c>
      <c r="D233" s="412" t="s">
        <v>116</v>
      </c>
      <c r="E233" s="413"/>
      <c r="F233" s="413"/>
      <c r="G233" s="413"/>
      <c r="H233" s="413"/>
      <c r="I233" s="413"/>
      <c r="J233" s="413"/>
      <c r="K233" s="413"/>
      <c r="L233" s="414">
        <f>ROUND(SUBTOTAL(109,L236:L238),2)</f>
        <v>126.73</v>
      </c>
      <c r="M233" s="59"/>
      <c r="N233" s="59" t="s">
        <v>11</v>
      </c>
      <c r="O233" s="59" t="s">
        <v>11</v>
      </c>
      <c r="P233" s="7"/>
      <c r="Q233" s="7"/>
      <c r="R233" s="7"/>
      <c r="S233" s="7"/>
    </row>
    <row r="234" spans="1:19" s="158" customFormat="1" ht="15" customHeight="1">
      <c r="A234" s="614" t="s">
        <v>357</v>
      </c>
      <c r="B234" s="614" t="s">
        <v>358</v>
      </c>
      <c r="C234" s="613" t="s">
        <v>361</v>
      </c>
      <c r="D234" s="614" t="s">
        <v>355</v>
      </c>
      <c r="E234" s="614" t="s">
        <v>2</v>
      </c>
      <c r="F234" s="614" t="s">
        <v>3</v>
      </c>
      <c r="G234" s="613" t="s">
        <v>362</v>
      </c>
      <c r="H234" s="614" t="s">
        <v>356</v>
      </c>
      <c r="I234" s="613" t="s">
        <v>374</v>
      </c>
      <c r="J234" s="613" t="s">
        <v>363</v>
      </c>
      <c r="K234" s="613" t="s">
        <v>364</v>
      </c>
      <c r="L234" s="613" t="s">
        <v>365</v>
      </c>
    </row>
    <row r="235" spans="1:19" s="158" customFormat="1">
      <c r="A235" s="614"/>
      <c r="B235" s="614"/>
      <c r="C235" s="613"/>
      <c r="D235" s="614"/>
      <c r="E235" s="614"/>
      <c r="F235" s="614"/>
      <c r="G235" s="613"/>
      <c r="H235" s="614"/>
      <c r="I235" s="614"/>
      <c r="J235" s="614"/>
      <c r="K235" s="614"/>
      <c r="L235" s="614"/>
    </row>
    <row r="236" spans="1:19" s="158" customFormat="1" ht="33.75">
      <c r="A236" s="415" t="s">
        <v>375</v>
      </c>
      <c r="B236" s="415" t="s">
        <v>359</v>
      </c>
      <c r="C236" s="415">
        <v>1107892</v>
      </c>
      <c r="D236" s="423" t="s">
        <v>151</v>
      </c>
      <c r="E236" s="433">
        <f>MEMÓRIA!$L$321</f>
        <v>147</v>
      </c>
      <c r="F236" s="433" t="str">
        <f>MEMÓRIA!$M$321</f>
        <v>m</v>
      </c>
      <c r="G236" s="434" t="s">
        <v>149</v>
      </c>
      <c r="H236" s="666" t="s">
        <v>150</v>
      </c>
      <c r="I236" s="425">
        <v>0.13300140000000002</v>
      </c>
      <c r="J236" s="435">
        <f>E236*I236</f>
        <v>19.551205800000002</v>
      </c>
      <c r="K236" s="436">
        <f>DMT!$AO$16</f>
        <v>3</v>
      </c>
      <c r="L236" s="425">
        <f>J236*K236</f>
        <v>58.653617400000002</v>
      </c>
      <c r="M236" s="93"/>
      <c r="N236" s="93"/>
      <c r="O236" s="93"/>
      <c r="P236" s="93"/>
    </row>
    <row r="237" spans="1:19" s="158" customFormat="1" ht="33.75">
      <c r="A237" s="415" t="s">
        <v>375</v>
      </c>
      <c r="B237" s="415" t="s">
        <v>359</v>
      </c>
      <c r="C237" s="415">
        <v>1107892</v>
      </c>
      <c r="D237" s="423" t="s">
        <v>151</v>
      </c>
      <c r="E237" s="433">
        <f>MEMÓRIA!$L$321</f>
        <v>147</v>
      </c>
      <c r="F237" s="433" t="str">
        <f>MEMÓRIA!$M$321</f>
        <v>m</v>
      </c>
      <c r="G237" s="434" t="s">
        <v>154</v>
      </c>
      <c r="H237" s="666" t="s">
        <v>155</v>
      </c>
      <c r="I237" s="425">
        <v>7.7183399999999999E-2</v>
      </c>
      <c r="J237" s="435">
        <f>E237*I237</f>
        <v>11.345959799999999</v>
      </c>
      <c r="K237" s="436">
        <f>DMT!$AO$16</f>
        <v>3</v>
      </c>
      <c r="L237" s="425">
        <f>J237*K237</f>
        <v>34.037879399999994</v>
      </c>
      <c r="M237" s="93"/>
      <c r="N237" s="93"/>
      <c r="O237" s="93"/>
      <c r="P237" s="93"/>
    </row>
    <row r="238" spans="1:19" s="158" customFormat="1" ht="33.75">
      <c r="A238" s="415" t="s">
        <v>375</v>
      </c>
      <c r="B238" s="415" t="s">
        <v>359</v>
      </c>
      <c r="C238" s="415">
        <v>1107892</v>
      </c>
      <c r="D238" s="423" t="s">
        <v>151</v>
      </c>
      <c r="E238" s="433">
        <f>MEMÓRIA!$L$321</f>
        <v>147</v>
      </c>
      <c r="F238" s="433" t="str">
        <f>MEMÓRIA!$M$321</f>
        <v>m</v>
      </c>
      <c r="G238" s="434" t="s">
        <v>17</v>
      </c>
      <c r="H238" s="666" t="s">
        <v>18</v>
      </c>
      <c r="I238" s="425">
        <v>7.7183399999999999E-2</v>
      </c>
      <c r="J238" s="435">
        <f>E238*I238</f>
        <v>11.345959799999999</v>
      </c>
      <c r="K238" s="436">
        <f>DMT!$AO$16</f>
        <v>3</v>
      </c>
      <c r="L238" s="425">
        <f>J238*K238</f>
        <v>34.037879399999994</v>
      </c>
      <c r="M238" s="93"/>
      <c r="N238" s="93"/>
      <c r="O238" s="93"/>
      <c r="P238" s="93"/>
    </row>
    <row r="239" spans="1:19" s="8" customFormat="1" ht="30" customHeight="1">
      <c r="A239" s="409" t="str">
        <f>ORÇAMENTO!A191</f>
        <v>7.4.8</v>
      </c>
      <c r="B239" s="427"/>
      <c r="C239" s="428">
        <v>5914479</v>
      </c>
      <c r="D239" s="429" t="s">
        <v>157</v>
      </c>
      <c r="E239" s="430"/>
      <c r="F239" s="430"/>
      <c r="G239" s="430"/>
      <c r="H239" s="430"/>
      <c r="I239" s="430"/>
      <c r="J239" s="430"/>
      <c r="K239" s="430"/>
      <c r="L239" s="431">
        <f>ROUND(SUBTOTAL(109,L242:L245),2)</f>
        <v>291.5</v>
      </c>
      <c r="M239" s="59"/>
      <c r="N239" s="59" t="s">
        <v>11</v>
      </c>
      <c r="O239" s="59" t="s">
        <v>11</v>
      </c>
      <c r="P239" s="7"/>
      <c r="Q239" s="7"/>
      <c r="R239" s="7"/>
      <c r="S239" s="7"/>
    </row>
    <row r="240" spans="1:19" s="158" customFormat="1" ht="15" customHeight="1">
      <c r="A240" s="612" t="s">
        <v>357</v>
      </c>
      <c r="B240" s="612" t="s">
        <v>358</v>
      </c>
      <c r="C240" s="611" t="s">
        <v>361</v>
      </c>
      <c r="D240" s="612" t="s">
        <v>355</v>
      </c>
      <c r="E240" s="612" t="s">
        <v>2</v>
      </c>
      <c r="F240" s="612" t="s">
        <v>3</v>
      </c>
      <c r="G240" s="611" t="s">
        <v>362</v>
      </c>
      <c r="H240" s="612" t="s">
        <v>356</v>
      </c>
      <c r="I240" s="613" t="s">
        <v>374</v>
      </c>
      <c r="J240" s="611" t="s">
        <v>363</v>
      </c>
      <c r="K240" s="611" t="s">
        <v>364</v>
      </c>
      <c r="L240" s="611" t="s">
        <v>365</v>
      </c>
    </row>
    <row r="241" spans="1:19" s="158" customFormat="1">
      <c r="A241" s="612"/>
      <c r="B241" s="612"/>
      <c r="C241" s="611"/>
      <c r="D241" s="612"/>
      <c r="E241" s="612"/>
      <c r="F241" s="612"/>
      <c r="G241" s="611"/>
      <c r="H241" s="612"/>
      <c r="I241" s="614"/>
      <c r="J241" s="612"/>
      <c r="K241" s="612"/>
      <c r="L241" s="612"/>
    </row>
    <row r="242" spans="1:19" s="158" customFormat="1" ht="33.75">
      <c r="A242" s="415" t="s">
        <v>369</v>
      </c>
      <c r="B242" s="415" t="s">
        <v>359</v>
      </c>
      <c r="C242" s="415">
        <v>1107892</v>
      </c>
      <c r="D242" s="423" t="s">
        <v>151</v>
      </c>
      <c r="E242" s="433">
        <f>MEMÓRIA!$L$321</f>
        <v>147</v>
      </c>
      <c r="F242" s="433" t="str">
        <f>MEMÓRIA!$M$321</f>
        <v>m</v>
      </c>
      <c r="G242" s="434" t="s">
        <v>152</v>
      </c>
      <c r="H242" s="666" t="s">
        <v>153</v>
      </c>
      <c r="I242" s="425">
        <v>1.1900000000000001E-4</v>
      </c>
      <c r="J242" s="435">
        <f>E242*I242</f>
        <v>1.7493000000000002E-2</v>
      </c>
      <c r="K242" s="436">
        <f>DMT!$AO$17</f>
        <v>48.4</v>
      </c>
      <c r="L242" s="425">
        <f>J242*K242</f>
        <v>0.8466612</v>
      </c>
      <c r="M242" s="93"/>
      <c r="N242" s="93"/>
      <c r="O242" s="93"/>
      <c r="P242" s="93"/>
    </row>
    <row r="243" spans="1:19" s="158" customFormat="1" ht="33.75">
      <c r="A243" s="415" t="s">
        <v>369</v>
      </c>
      <c r="B243" s="415" t="s">
        <v>359</v>
      </c>
      <c r="C243" s="415">
        <v>1107892</v>
      </c>
      <c r="D243" s="423" t="s">
        <v>151</v>
      </c>
      <c r="E243" s="433">
        <f>MEMÓRIA!$L$321</f>
        <v>147</v>
      </c>
      <c r="F243" s="433" t="str">
        <f>MEMÓRIA!$M$321</f>
        <v>m</v>
      </c>
      <c r="G243" s="434" t="s">
        <v>156</v>
      </c>
      <c r="H243" s="666" t="s">
        <v>210</v>
      </c>
      <c r="I243" s="425">
        <v>3.9501000000000008E-2</v>
      </c>
      <c r="J243" s="435">
        <f>E243*I243</f>
        <v>5.8066470000000017</v>
      </c>
      <c r="K243" s="436">
        <f>DMT!$AO$17</f>
        <v>48.4</v>
      </c>
      <c r="L243" s="425">
        <f>J243*K243</f>
        <v>281.04171480000008</v>
      </c>
      <c r="M243" s="93"/>
      <c r="N243" s="93"/>
      <c r="O243" s="93"/>
      <c r="P243" s="93"/>
    </row>
    <row r="244" spans="1:19" s="158" customFormat="1" ht="45">
      <c r="A244" s="415" t="s">
        <v>369</v>
      </c>
      <c r="B244" s="415" t="s">
        <v>359</v>
      </c>
      <c r="C244" s="415">
        <v>2003842</v>
      </c>
      <c r="D244" s="423" t="s">
        <v>184</v>
      </c>
      <c r="E244" s="433">
        <f>MEMÓRIA!$L$321</f>
        <v>147</v>
      </c>
      <c r="F244" s="433" t="str">
        <f>MEMÓRIA!$M$321</f>
        <v>m</v>
      </c>
      <c r="G244" s="434" t="s">
        <v>224</v>
      </c>
      <c r="H244" s="666" t="s">
        <v>225</v>
      </c>
      <c r="I244" s="425">
        <v>1E-4</v>
      </c>
      <c r="J244" s="435">
        <f>E244*I244</f>
        <v>1.4700000000000001E-2</v>
      </c>
      <c r="K244" s="436">
        <f>DMT!$AO$17</f>
        <v>48.4</v>
      </c>
      <c r="L244" s="425">
        <f>J244*K244</f>
        <v>0.71148</v>
      </c>
      <c r="M244" s="93"/>
      <c r="N244" s="93"/>
      <c r="O244" s="93"/>
      <c r="P244" s="93"/>
    </row>
    <row r="245" spans="1:19" s="158" customFormat="1" ht="45" customHeight="1">
      <c r="A245" s="415" t="s">
        <v>375</v>
      </c>
      <c r="B245" s="415" t="s">
        <v>359</v>
      </c>
      <c r="C245" s="415">
        <v>3108018</v>
      </c>
      <c r="D245" s="423" t="s">
        <v>186</v>
      </c>
      <c r="E245" s="433">
        <f>MEMÓRIA!$L$321</f>
        <v>147</v>
      </c>
      <c r="F245" s="433" t="str">
        <f>MEMÓRIA!$M$321</f>
        <v>m</v>
      </c>
      <c r="G245" s="434" t="s">
        <v>218</v>
      </c>
      <c r="H245" s="666" t="s">
        <v>219</v>
      </c>
      <c r="I245" s="425">
        <v>1.2512000000000001E-3</v>
      </c>
      <c r="J245" s="435">
        <f>E245*I245</f>
        <v>0.18392640000000002</v>
      </c>
      <c r="K245" s="436">
        <f>DMT!$AO$17</f>
        <v>48.4</v>
      </c>
      <c r="L245" s="425">
        <f>J245*K245</f>
        <v>8.9020377600000007</v>
      </c>
      <c r="M245" s="93"/>
      <c r="N245" s="93"/>
      <c r="O245" s="93"/>
      <c r="P245" s="93"/>
    </row>
    <row r="246" spans="1:19" s="8" customFormat="1" ht="30" customHeight="1">
      <c r="A246" s="409" t="str">
        <f>ORÇAMENTO!A192</f>
        <v>7.4.9</v>
      </c>
      <c r="B246" s="410"/>
      <c r="C246" s="411">
        <v>5914389</v>
      </c>
      <c r="D246" s="412" t="s">
        <v>16</v>
      </c>
      <c r="E246" s="413"/>
      <c r="F246" s="413"/>
      <c r="G246" s="413"/>
      <c r="H246" s="413"/>
      <c r="I246" s="413"/>
      <c r="J246" s="413"/>
      <c r="K246" s="413"/>
      <c r="L246" s="414">
        <f>ROUND(SUBTOTAL(109,L249:L251),2)</f>
        <v>2044.57</v>
      </c>
      <c r="M246" s="59"/>
      <c r="N246" s="59" t="s">
        <v>11</v>
      </c>
      <c r="O246" s="59" t="s">
        <v>11</v>
      </c>
      <c r="P246" s="7"/>
      <c r="Q246" s="7"/>
      <c r="R246" s="7"/>
      <c r="S246" s="7"/>
    </row>
    <row r="247" spans="1:19" s="158" customFormat="1" ht="15" customHeight="1">
      <c r="A247" s="612" t="s">
        <v>357</v>
      </c>
      <c r="B247" s="612" t="s">
        <v>358</v>
      </c>
      <c r="C247" s="611" t="s">
        <v>361</v>
      </c>
      <c r="D247" s="612" t="s">
        <v>355</v>
      </c>
      <c r="E247" s="612" t="s">
        <v>2</v>
      </c>
      <c r="F247" s="612" t="s">
        <v>3</v>
      </c>
      <c r="G247" s="611" t="s">
        <v>362</v>
      </c>
      <c r="H247" s="612" t="s">
        <v>356</v>
      </c>
      <c r="I247" s="613" t="s">
        <v>374</v>
      </c>
      <c r="J247" s="611" t="s">
        <v>363</v>
      </c>
      <c r="K247" s="611" t="s">
        <v>364</v>
      </c>
      <c r="L247" s="611" t="s">
        <v>365</v>
      </c>
    </row>
    <row r="248" spans="1:19" s="158" customFormat="1">
      <c r="A248" s="612"/>
      <c r="B248" s="612"/>
      <c r="C248" s="611"/>
      <c r="D248" s="612"/>
      <c r="E248" s="612"/>
      <c r="F248" s="612"/>
      <c r="G248" s="611"/>
      <c r="H248" s="612"/>
      <c r="I248" s="614"/>
      <c r="J248" s="612"/>
      <c r="K248" s="612"/>
      <c r="L248" s="612"/>
    </row>
    <row r="249" spans="1:19" s="158" customFormat="1" ht="33.75">
      <c r="A249" s="415" t="s">
        <v>369</v>
      </c>
      <c r="B249" s="415" t="s">
        <v>359</v>
      </c>
      <c r="C249" s="415">
        <v>1107892</v>
      </c>
      <c r="D249" s="423" t="s">
        <v>151</v>
      </c>
      <c r="E249" s="433">
        <f>MEMÓRIA!$L$321</f>
        <v>147</v>
      </c>
      <c r="F249" s="433" t="str">
        <f>MEMÓRIA!$M$321</f>
        <v>m</v>
      </c>
      <c r="G249" s="434" t="s">
        <v>149</v>
      </c>
      <c r="H249" s="666" t="s">
        <v>150</v>
      </c>
      <c r="I249" s="425">
        <v>0.13300140000000002</v>
      </c>
      <c r="J249" s="435">
        <f>E249*I249</f>
        <v>19.551205800000002</v>
      </c>
      <c r="K249" s="436">
        <f>DMT!$AO$17</f>
        <v>48.4</v>
      </c>
      <c r="L249" s="425">
        <f>J249*K249</f>
        <v>946.27836072000002</v>
      </c>
      <c r="M249" s="93"/>
      <c r="N249" s="93"/>
      <c r="O249" s="93"/>
      <c r="P249" s="93"/>
    </row>
    <row r="250" spans="1:19" s="158" customFormat="1" ht="33.75">
      <c r="A250" s="415" t="s">
        <v>369</v>
      </c>
      <c r="B250" s="415" t="s">
        <v>359</v>
      </c>
      <c r="C250" s="415">
        <v>1107892</v>
      </c>
      <c r="D250" s="423" t="s">
        <v>151</v>
      </c>
      <c r="E250" s="433">
        <f>MEMÓRIA!$L$321</f>
        <v>147</v>
      </c>
      <c r="F250" s="433" t="str">
        <f>MEMÓRIA!$M$321</f>
        <v>m</v>
      </c>
      <c r="G250" s="434" t="s">
        <v>154</v>
      </c>
      <c r="H250" s="666" t="s">
        <v>155</v>
      </c>
      <c r="I250" s="425">
        <v>7.7183399999999999E-2</v>
      </c>
      <c r="J250" s="435">
        <f>E250*I250</f>
        <v>11.345959799999999</v>
      </c>
      <c r="K250" s="436">
        <f>DMT!$AO$17</f>
        <v>48.4</v>
      </c>
      <c r="L250" s="425">
        <f>J250*K250</f>
        <v>549.14445431999991</v>
      </c>
      <c r="M250" s="93"/>
      <c r="N250" s="93"/>
      <c r="O250" s="93"/>
      <c r="P250" s="93"/>
    </row>
    <row r="251" spans="1:19" s="158" customFormat="1" ht="33.75">
      <c r="A251" s="415" t="s">
        <v>369</v>
      </c>
      <c r="B251" s="415" t="s">
        <v>359</v>
      </c>
      <c r="C251" s="415">
        <v>1107892</v>
      </c>
      <c r="D251" s="423" t="s">
        <v>151</v>
      </c>
      <c r="E251" s="433">
        <f>MEMÓRIA!$L$321</f>
        <v>147</v>
      </c>
      <c r="F251" s="433" t="str">
        <f>MEMÓRIA!$M$321</f>
        <v>m</v>
      </c>
      <c r="G251" s="434" t="s">
        <v>17</v>
      </c>
      <c r="H251" s="666" t="s">
        <v>18</v>
      </c>
      <c r="I251" s="425">
        <v>7.7183399999999999E-2</v>
      </c>
      <c r="J251" s="435">
        <f>E251*I251</f>
        <v>11.345959799999999</v>
      </c>
      <c r="K251" s="436">
        <f>DMT!$AO$17</f>
        <v>48.4</v>
      </c>
      <c r="L251" s="425">
        <f>J251*K251</f>
        <v>549.14445431999991</v>
      </c>
      <c r="M251" s="93"/>
      <c r="N251" s="93"/>
      <c r="O251" s="93"/>
      <c r="P251" s="93"/>
    </row>
  </sheetData>
  <mergeCells count="373">
    <mergeCell ref="J219:J220"/>
    <mergeCell ref="K219:K220"/>
    <mergeCell ref="L219:L220"/>
    <mergeCell ref="A219:A220"/>
    <mergeCell ref="B219:B220"/>
    <mergeCell ref="C219:C220"/>
    <mergeCell ref="D219:D220"/>
    <mergeCell ref="E219:E220"/>
    <mergeCell ref="F219:F220"/>
    <mergeCell ref="G219:G220"/>
    <mergeCell ref="H219:H220"/>
    <mergeCell ref="I219:I220"/>
    <mergeCell ref="J203:J204"/>
    <mergeCell ref="K203:K204"/>
    <mergeCell ref="L203:L204"/>
    <mergeCell ref="A209:A210"/>
    <mergeCell ref="B209:B210"/>
    <mergeCell ref="C209:C210"/>
    <mergeCell ref="D209:D210"/>
    <mergeCell ref="E209:E210"/>
    <mergeCell ref="F209:F210"/>
    <mergeCell ref="G209:G210"/>
    <mergeCell ref="H209:H210"/>
    <mergeCell ref="I209:I210"/>
    <mergeCell ref="J209:J210"/>
    <mergeCell ref="K209:K210"/>
    <mergeCell ref="L209:L210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J185:J186"/>
    <mergeCell ref="K185:K186"/>
    <mergeCell ref="L185:L186"/>
    <mergeCell ref="A193:A194"/>
    <mergeCell ref="B193:B194"/>
    <mergeCell ref="C193:C194"/>
    <mergeCell ref="D193:D194"/>
    <mergeCell ref="E193:E194"/>
    <mergeCell ref="F193:F194"/>
    <mergeCell ref="G193:G194"/>
    <mergeCell ref="H193:H194"/>
    <mergeCell ref="I193:I194"/>
    <mergeCell ref="J193:J194"/>
    <mergeCell ref="K193:K194"/>
    <mergeCell ref="L193:L194"/>
    <mergeCell ref="A185:A186"/>
    <mergeCell ref="B185:B186"/>
    <mergeCell ref="C185:C186"/>
    <mergeCell ref="D185:D186"/>
    <mergeCell ref="E185:E186"/>
    <mergeCell ref="F185:F186"/>
    <mergeCell ref="G185:G186"/>
    <mergeCell ref="H185:H186"/>
    <mergeCell ref="I185:I186"/>
    <mergeCell ref="J167:J168"/>
    <mergeCell ref="K167:K168"/>
    <mergeCell ref="L167:L168"/>
    <mergeCell ref="A173:A174"/>
    <mergeCell ref="B173:B174"/>
    <mergeCell ref="C173:C174"/>
    <mergeCell ref="D173:D174"/>
    <mergeCell ref="E173:E174"/>
    <mergeCell ref="F173:F174"/>
    <mergeCell ref="G173:G174"/>
    <mergeCell ref="H173:H174"/>
    <mergeCell ref="I173:I174"/>
    <mergeCell ref="J173:J174"/>
    <mergeCell ref="K173:K174"/>
    <mergeCell ref="L173:L174"/>
    <mergeCell ref="A167:A168"/>
    <mergeCell ref="B167:B168"/>
    <mergeCell ref="C167:C168"/>
    <mergeCell ref="D167:D168"/>
    <mergeCell ref="E167:E168"/>
    <mergeCell ref="F167:F168"/>
    <mergeCell ref="G167:G168"/>
    <mergeCell ref="H167:H168"/>
    <mergeCell ref="I167:I168"/>
    <mergeCell ref="J147:J148"/>
    <mergeCell ref="K147:K148"/>
    <mergeCell ref="L147:L148"/>
    <mergeCell ref="A155:A156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K155:K156"/>
    <mergeCell ref="L155:L156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31:J132"/>
    <mergeCell ref="K131:K132"/>
    <mergeCell ref="L131:L132"/>
    <mergeCell ref="A137:A138"/>
    <mergeCell ref="B137:B138"/>
    <mergeCell ref="C137:C138"/>
    <mergeCell ref="D137:D138"/>
    <mergeCell ref="E137:E138"/>
    <mergeCell ref="F137:F138"/>
    <mergeCell ref="G137:G138"/>
    <mergeCell ref="H137:H138"/>
    <mergeCell ref="I137:I138"/>
    <mergeCell ref="J137:J138"/>
    <mergeCell ref="K137:K138"/>
    <mergeCell ref="L137:L138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I131:I132"/>
    <mergeCell ref="J111:J112"/>
    <mergeCell ref="K111:K112"/>
    <mergeCell ref="L111:L112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J121:J122"/>
    <mergeCell ref="K121:K122"/>
    <mergeCell ref="L121:L122"/>
    <mergeCell ref="A111:A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03:J104"/>
    <mergeCell ref="K103:K104"/>
    <mergeCell ref="L103:L104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92:J93"/>
    <mergeCell ref="K92:K93"/>
    <mergeCell ref="L92:L93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E65:E66"/>
    <mergeCell ref="F65:F66"/>
    <mergeCell ref="I84:I85"/>
    <mergeCell ref="J84:J85"/>
    <mergeCell ref="K84:K85"/>
    <mergeCell ref="L84:L85"/>
    <mergeCell ref="J70:J71"/>
    <mergeCell ref="K70:K71"/>
    <mergeCell ref="L70:L71"/>
    <mergeCell ref="G65:G66"/>
    <mergeCell ref="H65:H66"/>
    <mergeCell ref="I65:I66"/>
    <mergeCell ref="J65:J66"/>
    <mergeCell ref="K65:K66"/>
    <mergeCell ref="L65:L66"/>
    <mergeCell ref="A84:A85"/>
    <mergeCell ref="B84:B85"/>
    <mergeCell ref="C84:C85"/>
    <mergeCell ref="D84:D85"/>
    <mergeCell ref="E84:E85"/>
    <mergeCell ref="F84:F85"/>
    <mergeCell ref="L78:L79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F78:F79"/>
    <mergeCell ref="G78:G79"/>
    <mergeCell ref="H78:H79"/>
    <mergeCell ref="I78:I79"/>
    <mergeCell ref="J78:J79"/>
    <mergeCell ref="K78:K79"/>
    <mergeCell ref="G84:G85"/>
    <mergeCell ref="H84:H85"/>
    <mergeCell ref="H51:H52"/>
    <mergeCell ref="I51:I52"/>
    <mergeCell ref="J51:J52"/>
    <mergeCell ref="K51:K52"/>
    <mergeCell ref="L51:L52"/>
    <mergeCell ref="A78:A79"/>
    <mergeCell ref="B78:B79"/>
    <mergeCell ref="C78:C79"/>
    <mergeCell ref="D78:D79"/>
    <mergeCell ref="E78:E79"/>
    <mergeCell ref="J59:J60"/>
    <mergeCell ref="K59:K60"/>
    <mergeCell ref="L59:L60"/>
    <mergeCell ref="A51:A52"/>
    <mergeCell ref="B51:B52"/>
    <mergeCell ref="C51:C52"/>
    <mergeCell ref="D51:D52"/>
    <mergeCell ref="E51:E52"/>
    <mergeCell ref="F51:F52"/>
    <mergeCell ref="G51:G52"/>
    <mergeCell ref="A65:A66"/>
    <mergeCell ref="B65:B66"/>
    <mergeCell ref="C65:C66"/>
    <mergeCell ref="D65:D66"/>
    <mergeCell ref="A4:L4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G39:G40"/>
    <mergeCell ref="H39:H40"/>
    <mergeCell ref="I39:I40"/>
    <mergeCell ref="J39:J40"/>
    <mergeCell ref="K39:K40"/>
    <mergeCell ref="L39:L40"/>
    <mergeCell ref="A39:A40"/>
    <mergeCell ref="B39:B40"/>
    <mergeCell ref="C39:C40"/>
    <mergeCell ref="D39:D40"/>
    <mergeCell ref="E39:E40"/>
    <mergeCell ref="F39:F40"/>
    <mergeCell ref="G32:G33"/>
    <mergeCell ref="H32:H33"/>
    <mergeCell ref="I32:I33"/>
    <mergeCell ref="J32:J33"/>
    <mergeCell ref="K32:K33"/>
    <mergeCell ref="L32:L33"/>
    <mergeCell ref="A32:A33"/>
    <mergeCell ref="B32:B33"/>
    <mergeCell ref="C32:C33"/>
    <mergeCell ref="D32:D33"/>
    <mergeCell ref="E32:E33"/>
    <mergeCell ref="F32:F33"/>
    <mergeCell ref="G22:G23"/>
    <mergeCell ref="H22:H23"/>
    <mergeCell ref="I22:I23"/>
    <mergeCell ref="J22:J23"/>
    <mergeCell ref="K22:K23"/>
    <mergeCell ref="L22:L23"/>
    <mergeCell ref="I15:I16"/>
    <mergeCell ref="J15:J16"/>
    <mergeCell ref="K15:K16"/>
    <mergeCell ref="L15:L16"/>
    <mergeCell ref="G15:G16"/>
    <mergeCell ref="H15:H16"/>
    <mergeCell ref="A9:A10"/>
    <mergeCell ref="F9:F10"/>
    <mergeCell ref="E9:E10"/>
    <mergeCell ref="A22:A23"/>
    <mergeCell ref="B22:B23"/>
    <mergeCell ref="C22:C23"/>
    <mergeCell ref="D22:D23"/>
    <mergeCell ref="E22:E23"/>
    <mergeCell ref="F22:F23"/>
    <mergeCell ref="A15:A16"/>
    <mergeCell ref="B15:B16"/>
    <mergeCell ref="C15:C16"/>
    <mergeCell ref="D15:D16"/>
    <mergeCell ref="E15:E16"/>
    <mergeCell ref="F15:F16"/>
    <mergeCell ref="L9:L10"/>
    <mergeCell ref="B9:B10"/>
    <mergeCell ref="G9:G10"/>
    <mergeCell ref="H9:H10"/>
    <mergeCell ref="I9:I10"/>
    <mergeCell ref="J9:J10"/>
    <mergeCell ref="K9:K10"/>
    <mergeCell ref="C9:C10"/>
    <mergeCell ref="D9:D10"/>
    <mergeCell ref="J227:J228"/>
    <mergeCell ref="K227:K228"/>
    <mergeCell ref="L227:L228"/>
    <mergeCell ref="A234:A235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J235"/>
    <mergeCell ref="K234:K235"/>
    <mergeCell ref="L234:L235"/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I227:I228"/>
    <mergeCell ref="J240:J241"/>
    <mergeCell ref="K240:K241"/>
    <mergeCell ref="L240:L241"/>
    <mergeCell ref="A247:A248"/>
    <mergeCell ref="B247:B248"/>
    <mergeCell ref="C247:C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L247:L248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Y24"/>
  <sheetViews>
    <sheetView view="pageBreakPreview" topLeftCell="D1" zoomScaleNormal="90" zoomScaleSheetLayoutView="100" workbookViewId="0">
      <selection activeCell="X18" sqref="X18"/>
    </sheetView>
  </sheetViews>
  <sheetFormatPr defaultRowHeight="15"/>
  <cols>
    <col min="1" max="1" width="9.140625" style="158"/>
    <col min="2" max="2" width="10.140625" style="158" bestFit="1" customWidth="1"/>
    <col min="3" max="3" width="15" style="158" customWidth="1"/>
    <col min="4" max="4" width="13.7109375" style="158" customWidth="1"/>
    <col min="5" max="5" width="12.85546875" style="158" customWidth="1"/>
    <col min="6" max="8" width="9.140625" style="158"/>
    <col min="9" max="9" width="10.85546875" style="158" bestFit="1" customWidth="1"/>
    <col min="10" max="10" width="9.42578125" style="158" customWidth="1"/>
    <col min="11" max="20" width="9.140625" style="158"/>
    <col min="21" max="21" width="15.7109375" style="158" customWidth="1"/>
    <col min="22" max="16384" width="9.140625" style="158"/>
  </cols>
  <sheetData>
    <row r="1" spans="1:25" s="382" customFormat="1"/>
    <row r="2" spans="1:25" s="382" customFormat="1"/>
    <row r="3" spans="1:25" s="382" customFormat="1"/>
    <row r="4" spans="1:25" s="382" customFormat="1" ht="15.75" thickBot="1">
      <c r="C4" s="627" t="s">
        <v>685</v>
      </c>
      <c r="D4" s="383"/>
      <c r="E4" s="383"/>
      <c r="F4" s="630" t="s">
        <v>686</v>
      </c>
      <c r="G4" s="630"/>
      <c r="H4" s="630"/>
      <c r="I4" s="384"/>
      <c r="J4" s="385"/>
      <c r="M4" s="631" t="s">
        <v>687</v>
      </c>
      <c r="N4" s="386" t="s">
        <v>243</v>
      </c>
      <c r="O4" s="387">
        <v>6.4999999999999997E-3</v>
      </c>
      <c r="P4" s="388"/>
    </row>
    <row r="5" spans="1:25" s="382" customFormat="1" ht="15.75" thickBot="1">
      <c r="C5" s="628"/>
      <c r="D5" s="389"/>
      <c r="E5" s="633"/>
      <c r="F5" s="634"/>
      <c r="G5" s="635" t="s">
        <v>688</v>
      </c>
      <c r="H5" s="390">
        <v>41821</v>
      </c>
      <c r="I5" s="389" t="s">
        <v>689</v>
      </c>
      <c r="J5" s="391">
        <v>270.23700000000002</v>
      </c>
      <c r="M5" s="632"/>
      <c r="N5" s="392" t="s">
        <v>80</v>
      </c>
      <c r="O5" s="393">
        <v>0.03</v>
      </c>
      <c r="P5" s="394"/>
      <c r="T5" s="625" t="s">
        <v>690</v>
      </c>
      <c r="U5" s="626"/>
    </row>
    <row r="6" spans="1:25" s="382" customFormat="1" ht="15.75" thickBot="1">
      <c r="B6" s="347" t="s">
        <v>11</v>
      </c>
      <c r="C6" s="629"/>
      <c r="D6" s="395"/>
      <c r="E6" s="396"/>
      <c r="F6" s="395"/>
      <c r="G6" s="636"/>
      <c r="H6" s="397">
        <v>45078</v>
      </c>
      <c r="I6" s="395" t="s">
        <v>691</v>
      </c>
      <c r="J6" s="398">
        <v>544.11300000000006</v>
      </c>
      <c r="M6" s="632"/>
      <c r="N6" s="392" t="s">
        <v>692</v>
      </c>
      <c r="O6" s="399">
        <v>0.18</v>
      </c>
      <c r="P6" s="400">
        <f>1-(O6/1)</f>
        <v>0.82000000000000006</v>
      </c>
      <c r="T6" s="401" t="s">
        <v>693</v>
      </c>
      <c r="U6" s="402"/>
    </row>
    <row r="7" spans="1:25" ht="45" customHeight="1" thickBot="1"/>
    <row r="8" spans="1:25" ht="90.75" customHeight="1">
      <c r="B8" s="620" t="s">
        <v>655</v>
      </c>
      <c r="C8" s="621"/>
      <c r="D8" s="621"/>
      <c r="E8" s="621"/>
      <c r="F8" s="622"/>
      <c r="G8" s="620" t="s">
        <v>656</v>
      </c>
      <c r="H8" s="622"/>
      <c r="I8" s="371" t="s">
        <v>657</v>
      </c>
      <c r="J8" s="372" t="s">
        <v>658</v>
      </c>
      <c r="K8" s="373" t="s">
        <v>659</v>
      </c>
      <c r="L8" s="372" t="s">
        <v>660</v>
      </c>
      <c r="M8" s="373" t="s">
        <v>661</v>
      </c>
      <c r="N8" s="372" t="s">
        <v>662</v>
      </c>
      <c r="O8" s="372" t="s">
        <v>663</v>
      </c>
      <c r="P8" s="372" t="s">
        <v>664</v>
      </c>
      <c r="Q8" s="372" t="s">
        <v>420</v>
      </c>
      <c r="R8" s="372" t="s">
        <v>665</v>
      </c>
      <c r="S8" s="372" t="s">
        <v>666</v>
      </c>
      <c r="T8" s="623" t="s">
        <v>667</v>
      </c>
      <c r="U8" s="624"/>
      <c r="V8" s="373" t="s">
        <v>668</v>
      </c>
      <c r="W8" s="374" t="s">
        <v>669</v>
      </c>
      <c r="X8" s="372" t="s">
        <v>670</v>
      </c>
    </row>
    <row r="9" spans="1:25" ht="33.75" customHeight="1" thickBot="1">
      <c r="B9" s="349" t="s">
        <v>644</v>
      </c>
      <c r="C9" s="350" t="s">
        <v>645</v>
      </c>
      <c r="D9" s="350" t="s">
        <v>646</v>
      </c>
      <c r="E9" s="350" t="s">
        <v>647</v>
      </c>
      <c r="F9" s="351" t="s">
        <v>358</v>
      </c>
      <c r="G9" s="352" t="s">
        <v>646</v>
      </c>
      <c r="H9" s="352" t="s">
        <v>648</v>
      </c>
      <c r="I9" s="353" t="s">
        <v>419</v>
      </c>
      <c r="J9" s="354" t="s">
        <v>419</v>
      </c>
      <c r="K9" s="354" t="s">
        <v>419</v>
      </c>
      <c r="L9" s="355" t="s">
        <v>649</v>
      </c>
      <c r="M9" s="355" t="s">
        <v>649</v>
      </c>
      <c r="N9" s="356" t="s">
        <v>419</v>
      </c>
      <c r="O9" s="356" t="s">
        <v>419</v>
      </c>
      <c r="P9" s="356" t="s">
        <v>419</v>
      </c>
      <c r="Q9" s="356" t="s">
        <v>419</v>
      </c>
      <c r="R9" s="356" t="s">
        <v>419</v>
      </c>
      <c r="S9" s="356" t="s">
        <v>419</v>
      </c>
      <c r="T9" s="356" t="s">
        <v>650</v>
      </c>
      <c r="U9" s="356" t="s">
        <v>419</v>
      </c>
      <c r="V9" s="356" t="s">
        <v>419</v>
      </c>
      <c r="W9" s="356" t="s">
        <v>419</v>
      </c>
      <c r="X9" s="356" t="s">
        <v>419</v>
      </c>
    </row>
    <row r="10" spans="1:25" ht="51">
      <c r="A10" s="618" t="s">
        <v>418</v>
      </c>
      <c r="B10" s="357" t="s">
        <v>651</v>
      </c>
      <c r="C10" s="358" t="s">
        <v>652</v>
      </c>
      <c r="D10" s="359" t="s">
        <v>194</v>
      </c>
      <c r="E10" s="358" t="s">
        <v>653</v>
      </c>
      <c r="F10" s="359" t="s">
        <v>654</v>
      </c>
      <c r="G10" s="360" t="s">
        <v>206</v>
      </c>
      <c r="H10" s="360">
        <v>3.3427732000124402</v>
      </c>
      <c r="I10" s="361">
        <f>H10*1000</f>
        <v>3342.7732000124402</v>
      </c>
      <c r="J10" s="362">
        <f>ROUND(((I10/(1-$O$4-$O$5-$O$6))-I10),2)</f>
        <v>923.69</v>
      </c>
      <c r="K10" s="363">
        <f>I10+J10</f>
        <v>4266.4632000124402</v>
      </c>
      <c r="L10" s="364">
        <f>1046.8/2</f>
        <v>523.4</v>
      </c>
      <c r="M10" s="364">
        <v>3</v>
      </c>
      <c r="N10" s="362">
        <f>ROUND((26.939+0.253*L10),2)</f>
        <v>159.36000000000001</v>
      </c>
      <c r="O10" s="362">
        <f>ROUND((26.939+0.412*M10),2)</f>
        <v>28.18</v>
      </c>
      <c r="P10" s="365">
        <f>N10+O10</f>
        <v>187.54000000000002</v>
      </c>
      <c r="Q10" s="365">
        <f>TRUNC(P10*($O$6/(1-$O$6)),2)</f>
        <v>41.16</v>
      </c>
      <c r="R10" s="362">
        <f>TRUNC(IF($J$5="","",(($J$6-$J$5)/$J$5)*(P10+Q10)),2)</f>
        <v>231.77</v>
      </c>
      <c r="S10" s="366">
        <f>P10+Q10+R10</f>
        <v>460.47</v>
      </c>
      <c r="T10" s="367">
        <v>0</v>
      </c>
      <c r="U10" s="365">
        <v>0</v>
      </c>
      <c r="V10" s="368">
        <f>IF(AND(P10="",Q10=""),"",S10+U10)</f>
        <v>460.47</v>
      </c>
      <c r="W10" s="369">
        <f>K10</f>
        <v>4266.4632000124402</v>
      </c>
      <c r="X10" s="370">
        <f>V10+W10</f>
        <v>4726.9332000124405</v>
      </c>
      <c r="Y10" s="362"/>
    </row>
    <row r="11" spans="1:25" ht="51">
      <c r="A11" s="618"/>
      <c r="B11" s="376" t="s">
        <v>671</v>
      </c>
      <c r="C11" s="377" t="s">
        <v>672</v>
      </c>
      <c r="D11" s="378" t="s">
        <v>417</v>
      </c>
      <c r="E11" s="377" t="s">
        <v>673</v>
      </c>
      <c r="F11" s="359" t="s">
        <v>654</v>
      </c>
      <c r="G11" s="360" t="s">
        <v>206</v>
      </c>
      <c r="H11" s="360">
        <v>3.3427732000124402</v>
      </c>
      <c r="I11" s="361">
        <f t="shared" ref="I11" si="0">H11*1000</f>
        <v>3342.7732000124402</v>
      </c>
      <c r="J11" s="362">
        <f t="shared" ref="J11:J12" si="1">ROUND(((I11/(1-$O$4-$O$5-$O$6))-I11),2)</f>
        <v>923.69</v>
      </c>
      <c r="K11" s="363">
        <f t="shared" ref="K11:K12" si="2">I11+J11</f>
        <v>4266.4632000124402</v>
      </c>
      <c r="L11" s="379">
        <f>1288.8/2</f>
        <v>644.4</v>
      </c>
      <c r="M11" s="364">
        <v>3</v>
      </c>
      <c r="N11" s="362">
        <f t="shared" ref="N11:N12" si="3">ROUND((26.939+0.253*L11),2)</f>
        <v>189.97</v>
      </c>
      <c r="O11" s="362">
        <f t="shared" ref="O11:O12" si="4">ROUND((26.939+0.412*M11),2)</f>
        <v>28.18</v>
      </c>
      <c r="P11" s="365">
        <f t="shared" ref="P11:P12" si="5">N11+O11</f>
        <v>218.15</v>
      </c>
      <c r="Q11" s="365">
        <f t="shared" ref="Q11:Q12" si="6">TRUNC(P11*($O$6/(1-$O$6)),2)</f>
        <v>47.88</v>
      </c>
      <c r="R11" s="362">
        <f t="shared" ref="R11:R12" si="7">TRUNC(IF($J$5="","",(($J$6-$J$5)/$J$5)*(P11+Q11)),2)</f>
        <v>269.61</v>
      </c>
      <c r="S11" s="366">
        <f t="shared" ref="S11:S12" si="8">P11+Q11+R11</f>
        <v>535.6400000000001</v>
      </c>
      <c r="T11" s="380">
        <v>0</v>
      </c>
      <c r="U11" s="365">
        <v>0</v>
      </c>
      <c r="V11" s="368">
        <f t="shared" ref="V11:V12" si="9">IF(AND(P11="",Q11=""),"",S11+U11)</f>
        <v>535.6400000000001</v>
      </c>
      <c r="W11" s="369">
        <f t="shared" ref="W11:W12" si="10">K11</f>
        <v>4266.4632000124402</v>
      </c>
      <c r="X11" s="370">
        <f t="shared" ref="X11:X12" si="11">V11+W11</f>
        <v>4802.1032000124405</v>
      </c>
    </row>
    <row r="12" spans="1:25" ht="89.25">
      <c r="A12" s="619"/>
      <c r="B12" s="376" t="s">
        <v>674</v>
      </c>
      <c r="C12" s="377" t="s">
        <v>675</v>
      </c>
      <c r="D12" s="378" t="s">
        <v>414</v>
      </c>
      <c r="E12" s="377" t="s">
        <v>676</v>
      </c>
      <c r="F12" s="359" t="s">
        <v>654</v>
      </c>
      <c r="G12" s="360">
        <v>3.3107028291938501</v>
      </c>
      <c r="H12" s="360">
        <v>3.3427732000124402</v>
      </c>
      <c r="I12" s="361">
        <f>G12*1000</f>
        <v>3310.70282919385</v>
      </c>
      <c r="J12" s="362">
        <f t="shared" si="1"/>
        <v>914.83</v>
      </c>
      <c r="K12" s="363">
        <f t="shared" si="2"/>
        <v>4225.5328291938504</v>
      </c>
      <c r="L12" s="379">
        <f>1590.8/2</f>
        <v>795.4</v>
      </c>
      <c r="M12" s="364">
        <v>3</v>
      </c>
      <c r="N12" s="362">
        <f t="shared" si="3"/>
        <v>228.18</v>
      </c>
      <c r="O12" s="362">
        <f t="shared" si="4"/>
        <v>28.18</v>
      </c>
      <c r="P12" s="365">
        <f t="shared" si="5"/>
        <v>256.36</v>
      </c>
      <c r="Q12" s="365">
        <f t="shared" si="6"/>
        <v>56.27</v>
      </c>
      <c r="R12" s="362">
        <f t="shared" si="7"/>
        <v>316.83</v>
      </c>
      <c r="S12" s="366">
        <f t="shared" si="8"/>
        <v>629.46</v>
      </c>
      <c r="T12" s="380">
        <v>0</v>
      </c>
      <c r="U12" s="365">
        <v>0</v>
      </c>
      <c r="V12" s="368">
        <f t="shared" si="9"/>
        <v>629.46</v>
      </c>
      <c r="W12" s="369">
        <f t="shared" si="10"/>
        <v>4225.5328291938504</v>
      </c>
      <c r="X12" s="370">
        <f t="shared" si="11"/>
        <v>4854.9928291938504</v>
      </c>
    </row>
    <row r="13" spans="1:25" ht="15" customHeight="1">
      <c r="A13" s="375"/>
    </row>
    <row r="15" spans="1:25" ht="15" customHeight="1" thickBot="1"/>
    <row r="16" spans="1:25" ht="90.75" customHeight="1">
      <c r="B16" s="620" t="s">
        <v>655</v>
      </c>
      <c r="C16" s="621"/>
      <c r="D16" s="621"/>
      <c r="E16" s="621"/>
      <c r="F16" s="622"/>
      <c r="G16" s="620" t="s">
        <v>656</v>
      </c>
      <c r="H16" s="622"/>
      <c r="I16" s="371" t="s">
        <v>657</v>
      </c>
      <c r="J16" s="372" t="s">
        <v>658</v>
      </c>
      <c r="K16" s="373" t="s">
        <v>659</v>
      </c>
      <c r="L16" s="372" t="s">
        <v>660</v>
      </c>
      <c r="M16" s="373" t="s">
        <v>661</v>
      </c>
      <c r="N16" s="372" t="s">
        <v>662</v>
      </c>
      <c r="O16" s="372" t="s">
        <v>663</v>
      </c>
      <c r="P16" s="372" t="s">
        <v>664</v>
      </c>
      <c r="Q16" s="372" t="s">
        <v>420</v>
      </c>
      <c r="R16" s="372" t="s">
        <v>665</v>
      </c>
      <c r="S16" s="372" t="s">
        <v>666</v>
      </c>
      <c r="T16" s="623" t="s">
        <v>667</v>
      </c>
      <c r="U16" s="624"/>
      <c r="V16" s="373" t="s">
        <v>668</v>
      </c>
      <c r="W16" s="374" t="s">
        <v>669</v>
      </c>
      <c r="X16" s="372" t="s">
        <v>670</v>
      </c>
    </row>
    <row r="17" spans="1:24" ht="15.75" thickBot="1">
      <c r="B17" s="349" t="s">
        <v>644</v>
      </c>
      <c r="C17" s="350" t="s">
        <v>645</v>
      </c>
      <c r="D17" s="350" t="s">
        <v>646</v>
      </c>
      <c r="E17" s="350" t="s">
        <v>647</v>
      </c>
      <c r="F17" s="351" t="s">
        <v>358</v>
      </c>
      <c r="G17" s="352" t="s">
        <v>646</v>
      </c>
      <c r="H17" s="352" t="s">
        <v>648</v>
      </c>
      <c r="I17" s="353" t="s">
        <v>419</v>
      </c>
      <c r="J17" s="354" t="s">
        <v>419</v>
      </c>
      <c r="K17" s="354" t="s">
        <v>419</v>
      </c>
      <c r="L17" s="355" t="s">
        <v>649</v>
      </c>
      <c r="M17" s="355" t="s">
        <v>649</v>
      </c>
      <c r="N17" s="356" t="s">
        <v>419</v>
      </c>
      <c r="O17" s="356" t="s">
        <v>419</v>
      </c>
      <c r="P17" s="356" t="s">
        <v>419</v>
      </c>
      <c r="Q17" s="356" t="s">
        <v>419</v>
      </c>
      <c r="R17" s="356" t="s">
        <v>419</v>
      </c>
      <c r="S17" s="356" t="s">
        <v>419</v>
      </c>
      <c r="T17" s="356" t="s">
        <v>650</v>
      </c>
      <c r="U17" s="356" t="s">
        <v>419</v>
      </c>
      <c r="V17" s="356" t="s">
        <v>419</v>
      </c>
      <c r="W17" s="356" t="s">
        <v>419</v>
      </c>
      <c r="X17" s="356" t="s">
        <v>419</v>
      </c>
    </row>
    <row r="18" spans="1:24" ht="89.25">
      <c r="A18" s="618" t="s">
        <v>413</v>
      </c>
      <c r="B18" s="357" t="s">
        <v>677</v>
      </c>
      <c r="C18" s="358" t="s">
        <v>678</v>
      </c>
      <c r="D18" s="359" t="s">
        <v>415</v>
      </c>
      <c r="E18" s="358" t="s">
        <v>679</v>
      </c>
      <c r="F18" s="359" t="s">
        <v>654</v>
      </c>
      <c r="G18" s="360" t="s">
        <v>206</v>
      </c>
      <c r="H18" s="360">
        <v>3.77202874480151</v>
      </c>
      <c r="I18" s="361">
        <f>H18*1000</f>
        <v>3772.0287448015101</v>
      </c>
      <c r="J18" s="362">
        <f>ROUND(((I18/(1-$O$4-$O$5-$O$6))-I18),2)</f>
        <v>1042.3</v>
      </c>
      <c r="K18" s="363">
        <f>I18+J18</f>
        <v>4814.3287448015099</v>
      </c>
      <c r="L18" s="364">
        <f>3568.8/2</f>
        <v>1784.4</v>
      </c>
      <c r="M18" s="364">
        <v>3</v>
      </c>
      <c r="N18" s="362">
        <f>ROUND((26.939+0.253*L18),2)</f>
        <v>478.39</v>
      </c>
      <c r="O18" s="365">
        <f>ROUND((26.939+0.412*M18),2)</f>
        <v>28.18</v>
      </c>
      <c r="P18" s="365">
        <f>N18+O18</f>
        <v>506.57</v>
      </c>
      <c r="Q18" s="365">
        <f>TRUNC(P18*($O$6/(1-$O$6)),2)</f>
        <v>111.19</v>
      </c>
      <c r="R18" s="362">
        <f>TRUNC(IF($J$5="","",(($J$6-$J$5)/$J$5)*(P18+Q18)),2)</f>
        <v>626.07000000000005</v>
      </c>
      <c r="S18" s="366">
        <f>P18+Q18+R18</f>
        <v>1243.83</v>
      </c>
      <c r="T18" s="367">
        <v>478.8</v>
      </c>
      <c r="U18" s="365">
        <f>EVEN(MEMÓRIA!R256*2/28)*TRANSP.MAT.BET.REAJ.!T18/MEMÓRIA!R256</f>
        <v>241.57806785982419</v>
      </c>
      <c r="V18" s="368">
        <f>IF(AND(P18="",Q18=""),"",S18+U18)</f>
        <v>1485.4080678598241</v>
      </c>
      <c r="W18" s="369">
        <f>K18</f>
        <v>4814.3287448015099</v>
      </c>
      <c r="X18" s="370">
        <f>V18+W18</f>
        <v>6299.7368126613337</v>
      </c>
    </row>
    <row r="19" spans="1:24" ht="63.75">
      <c r="A19" s="618"/>
      <c r="B19" s="376" t="s">
        <v>681</v>
      </c>
      <c r="C19" s="377" t="s">
        <v>682</v>
      </c>
      <c r="D19" s="378" t="s">
        <v>416</v>
      </c>
      <c r="E19" s="377" t="s">
        <v>683</v>
      </c>
      <c r="F19" s="359" t="s">
        <v>654</v>
      </c>
      <c r="G19" s="360" t="s">
        <v>206</v>
      </c>
      <c r="H19" s="360">
        <v>3.77202874480151</v>
      </c>
      <c r="I19" s="361">
        <f t="shared" ref="I19:I20" si="12">H19*1000</f>
        <v>3772.0287448015101</v>
      </c>
      <c r="J19" s="362">
        <f t="shared" ref="J19:J20" si="13">ROUND(((I19/(1-$O$4-$O$5-$O$6))-I19),2)</f>
        <v>1042.3</v>
      </c>
      <c r="K19" s="363">
        <f t="shared" ref="K19:K20" si="14">I19+J19</f>
        <v>4814.3287448015099</v>
      </c>
      <c r="L19" s="379">
        <f>3942.8/2</f>
        <v>1971.4</v>
      </c>
      <c r="M19" s="364">
        <v>3</v>
      </c>
      <c r="N19" s="362">
        <f t="shared" ref="N19:N20" si="15">ROUND((26.939+0.253*L19),2)</f>
        <v>525.70000000000005</v>
      </c>
      <c r="O19" s="365">
        <f t="shared" ref="O19:O20" si="16">ROUND((26.939+0.412*M19),2)</f>
        <v>28.18</v>
      </c>
      <c r="P19" s="365">
        <f t="shared" ref="P19:P20" si="17">N19+O19</f>
        <v>553.88</v>
      </c>
      <c r="Q19" s="365">
        <f t="shared" ref="Q19:Q20" si="18">TRUNC(P19*($O$6/(1-$O$6)),2)</f>
        <v>121.58</v>
      </c>
      <c r="R19" s="362">
        <f t="shared" ref="R19:R20" si="19">TRUNC(IF($J$5="","",(($J$6-$J$5)/$J$5)*(P19+Q19)),2)</f>
        <v>684.55</v>
      </c>
      <c r="S19" s="366">
        <f t="shared" ref="S19:S20" si="20">P19+Q19+R19</f>
        <v>1360.01</v>
      </c>
      <c r="T19" s="380">
        <v>819</v>
      </c>
      <c r="U19" s="365">
        <f>EVEN(MEMÓRIA!R256*2/28)*TRANSP.MAT.BET.REAJ.!T19/MEMÓRIA!R256</f>
        <v>413.22564239180451</v>
      </c>
      <c r="V19" s="368">
        <f t="shared" ref="V19:V20" si="21">IF(AND(P19="",Q19=""),"",S19+U19)</f>
        <v>1773.2356423918045</v>
      </c>
      <c r="W19" s="369">
        <f t="shared" ref="W19:W20" si="22">K19</f>
        <v>4814.3287448015099</v>
      </c>
      <c r="X19" s="370">
        <f t="shared" ref="X19:X20" si="23">V19+W19</f>
        <v>6587.5643871933144</v>
      </c>
    </row>
    <row r="20" spans="1:24" ht="89.25">
      <c r="A20" s="619"/>
      <c r="B20" s="376" t="s">
        <v>681</v>
      </c>
      <c r="C20" s="377" t="s">
        <v>684</v>
      </c>
      <c r="D20" s="378" t="s">
        <v>415</v>
      </c>
      <c r="E20" s="377" t="s">
        <v>680</v>
      </c>
      <c r="F20" s="359" t="s">
        <v>654</v>
      </c>
      <c r="G20" s="360" t="s">
        <v>206</v>
      </c>
      <c r="H20" s="360">
        <v>3.77202874480151</v>
      </c>
      <c r="I20" s="361">
        <f t="shared" si="12"/>
        <v>3772.0287448015101</v>
      </c>
      <c r="J20" s="362">
        <f t="shared" si="13"/>
        <v>1042.3</v>
      </c>
      <c r="K20" s="363">
        <f t="shared" si="14"/>
        <v>4814.3287448015099</v>
      </c>
      <c r="L20" s="379">
        <f>3956.8/2</f>
        <v>1978.4</v>
      </c>
      <c r="M20" s="364">
        <v>3</v>
      </c>
      <c r="N20" s="362">
        <f t="shared" si="15"/>
        <v>527.47</v>
      </c>
      <c r="O20" s="365">
        <f t="shared" si="16"/>
        <v>28.18</v>
      </c>
      <c r="P20" s="365">
        <f t="shared" si="17"/>
        <v>555.65</v>
      </c>
      <c r="Q20" s="365">
        <f t="shared" si="18"/>
        <v>121.97</v>
      </c>
      <c r="R20" s="362">
        <f t="shared" si="19"/>
        <v>686.74</v>
      </c>
      <c r="S20" s="366">
        <f t="shared" si="20"/>
        <v>1364.3600000000001</v>
      </c>
      <c r="T20" s="380">
        <v>279.60000000000002</v>
      </c>
      <c r="U20" s="365">
        <f>EVEN(MEMÓRIA!R256*2/28)*TRANSP.MAT.BET.REAJ.!T20/MEMÓRIA!R256</f>
        <v>141.07190428907026</v>
      </c>
      <c r="V20" s="368">
        <f t="shared" si="21"/>
        <v>1505.4319042890704</v>
      </c>
      <c r="W20" s="369">
        <f t="shared" si="22"/>
        <v>4814.3287448015099</v>
      </c>
      <c r="X20" s="370">
        <f t="shared" si="23"/>
        <v>6319.76064909058</v>
      </c>
    </row>
    <row r="21" spans="1:24" ht="15" customHeight="1">
      <c r="A21" s="375"/>
    </row>
    <row r="22" spans="1:24" ht="15" customHeight="1">
      <c r="U22" s="403"/>
    </row>
    <row r="23" spans="1:24" ht="15.75" customHeight="1">
      <c r="U23" s="403"/>
    </row>
    <row r="24" spans="1:24">
      <c r="U24" s="403"/>
    </row>
  </sheetData>
  <mergeCells count="14">
    <mergeCell ref="T5:U5"/>
    <mergeCell ref="C4:C6"/>
    <mergeCell ref="F4:H4"/>
    <mergeCell ref="M4:M6"/>
    <mergeCell ref="E5:F5"/>
    <mergeCell ref="G5:G6"/>
    <mergeCell ref="A18:A20"/>
    <mergeCell ref="B8:F8"/>
    <mergeCell ref="G8:H8"/>
    <mergeCell ref="T8:U8"/>
    <mergeCell ref="A10:A12"/>
    <mergeCell ref="B16:F16"/>
    <mergeCell ref="G16:H16"/>
    <mergeCell ref="T16:U16"/>
  </mergeCells>
  <conditionalFormatting sqref="X10:X12">
    <cfRule type="top10" dxfId="1" priority="9" bottom="1" rank="1"/>
  </conditionalFormatting>
  <conditionalFormatting sqref="X18:X20">
    <cfRule type="top10" dxfId="0" priority="3" bottom="1" rank="1"/>
  </conditionalFormatting>
  <dataValidations count="2">
    <dataValidation type="list" allowBlank="1" showInputMessage="1" showErrorMessage="1" sqref="D10 D18">
      <formula1>#REF!</formula1>
    </dataValidation>
    <dataValidation type="list" allowBlank="1" showErrorMessage="1" sqref="I4:J4">
      <formula1>$D$67:$D$93</formula1>
    </dataValidation>
  </dataValidations>
  <pageMargins left="0.23622047244094491" right="0.23622047244094491" top="0.74803149606299213" bottom="0.74803149606299213" header="0.31496062992125984" footer="0.31496062992125984"/>
  <pageSetup paperSize="9" scale="58"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84"/>
  <sheetViews>
    <sheetView view="pageBreakPreview" zoomScale="110" zoomScaleNormal="100" zoomScaleSheetLayoutView="110" workbookViewId="0">
      <selection activeCell="R20" sqref="R20"/>
    </sheetView>
  </sheetViews>
  <sheetFormatPr defaultColWidth="2.7109375" defaultRowHeight="15"/>
  <cols>
    <col min="28" max="28" width="2.7109375" customWidth="1"/>
    <col min="40" max="40" width="2.7109375" customWidth="1"/>
  </cols>
  <sheetData>
    <row r="1" spans="1:6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6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6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6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64" ht="18.75" customHeight="1">
      <c r="A5" s="637" t="s">
        <v>170</v>
      </c>
      <c r="B5" s="638"/>
      <c r="C5" s="638"/>
      <c r="D5" s="638"/>
      <c r="E5" s="638"/>
      <c r="F5" s="638"/>
      <c r="G5" s="638"/>
      <c r="H5" s="638"/>
      <c r="I5" s="638"/>
      <c r="J5" s="638"/>
      <c r="K5" s="638"/>
      <c r="L5" s="638"/>
      <c r="M5" s="638"/>
      <c r="N5" s="638"/>
      <c r="O5" s="638"/>
      <c r="P5" s="638"/>
      <c r="Q5" s="638"/>
      <c r="R5" s="638"/>
      <c r="S5" s="638"/>
      <c r="T5" s="638"/>
      <c r="U5" s="638"/>
      <c r="V5" s="638"/>
      <c r="W5" s="638"/>
      <c r="X5" s="638"/>
      <c r="Y5" s="638"/>
      <c r="Z5" s="638"/>
      <c r="AA5" s="638"/>
      <c r="AB5" s="638"/>
      <c r="AC5" s="638"/>
      <c r="AD5" s="638"/>
      <c r="AE5" s="638"/>
      <c r="AF5" s="638"/>
      <c r="AG5" s="638"/>
      <c r="AH5" s="638"/>
      <c r="AI5" s="638"/>
      <c r="AJ5" s="638"/>
      <c r="AK5" s="638"/>
      <c r="AL5" s="638"/>
      <c r="AM5" s="638"/>
      <c r="AN5" s="638"/>
      <c r="AO5" s="638"/>
      <c r="AP5" s="638"/>
      <c r="AQ5" s="638"/>
      <c r="AR5" s="638"/>
      <c r="AS5" s="638"/>
      <c r="AT5" s="638"/>
      <c r="AU5" s="638"/>
      <c r="AV5" s="638"/>
      <c r="AW5" s="638"/>
    </row>
    <row r="6" spans="1:6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64">
      <c r="A7" s="2"/>
      <c r="B7" s="2"/>
      <c r="C7" s="2"/>
      <c r="D7" s="2"/>
      <c r="E7" s="2"/>
      <c r="F7" s="2"/>
      <c r="G7" s="169" t="s">
        <v>163</v>
      </c>
      <c r="H7" s="157"/>
      <c r="I7" s="157"/>
      <c r="J7" s="15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64">
      <c r="A8" s="2"/>
      <c r="B8" s="2"/>
      <c r="C8" s="2"/>
      <c r="D8" s="2"/>
      <c r="E8" s="2"/>
      <c r="F8" s="2"/>
      <c r="G8" s="157"/>
      <c r="H8" s="157"/>
      <c r="I8" s="157"/>
      <c r="J8" s="157"/>
      <c r="K8" s="298" t="s">
        <v>317</v>
      </c>
      <c r="L8" s="157"/>
      <c r="M8" s="2"/>
      <c r="N8" s="2"/>
      <c r="O8" s="2"/>
      <c r="P8" s="2"/>
      <c r="Q8" s="2"/>
      <c r="R8" s="2"/>
      <c r="S8" s="2"/>
      <c r="T8" s="2"/>
      <c r="U8" s="2"/>
      <c r="V8" s="2"/>
      <c r="W8" s="157"/>
      <c r="X8" s="157"/>
      <c r="Y8" s="157"/>
      <c r="Z8" s="157"/>
      <c r="AA8" s="157"/>
      <c r="AB8" s="157"/>
      <c r="AC8" s="157"/>
      <c r="AD8" s="2"/>
      <c r="AE8" s="2"/>
      <c r="AF8" s="2"/>
      <c r="AG8" s="2"/>
      <c r="AH8" s="639" t="s">
        <v>314</v>
      </c>
      <c r="AI8" s="639"/>
      <c r="AJ8" s="639"/>
      <c r="AK8" s="639"/>
      <c r="AL8" s="639"/>
      <c r="AM8" s="639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64">
      <c r="A9" s="2"/>
      <c r="B9" s="2"/>
      <c r="C9" s="2"/>
      <c r="D9" s="2"/>
      <c r="E9" s="2"/>
      <c r="F9" s="2"/>
      <c r="G9" s="157"/>
      <c r="H9" s="157"/>
      <c r="I9" s="157"/>
      <c r="J9" s="157"/>
      <c r="K9" s="170" t="s">
        <v>318</v>
      </c>
      <c r="L9" s="157"/>
      <c r="M9" s="2"/>
      <c r="N9" s="2"/>
      <c r="O9" s="2"/>
      <c r="P9" s="2"/>
      <c r="Q9" s="2"/>
      <c r="R9" s="2"/>
      <c r="S9" s="2"/>
      <c r="T9" s="2"/>
      <c r="U9" s="2"/>
      <c r="V9" s="2"/>
      <c r="W9" s="157"/>
      <c r="X9" s="157"/>
      <c r="Y9" s="157"/>
      <c r="Z9" s="157"/>
      <c r="AA9" s="157"/>
      <c r="AB9" s="157"/>
      <c r="AC9" s="157"/>
      <c r="AD9" s="2"/>
      <c r="AE9" s="2"/>
      <c r="AF9" s="2"/>
      <c r="AG9" s="2"/>
      <c r="AH9" s="639"/>
      <c r="AI9" s="639"/>
      <c r="AJ9" s="639"/>
      <c r="AK9" s="639"/>
      <c r="AL9" s="639"/>
      <c r="AM9" s="639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64" ht="15.75" thickBot="1">
      <c r="A10" s="2"/>
      <c r="B10" s="2"/>
      <c r="C10" s="2"/>
      <c r="D10" s="2"/>
      <c r="E10" s="2"/>
      <c r="F10" s="2"/>
      <c r="G10" s="157"/>
      <c r="H10" s="157"/>
      <c r="I10" s="157"/>
      <c r="J10" s="157"/>
      <c r="K10" s="170" t="s">
        <v>319</v>
      </c>
      <c r="L10" s="157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639"/>
      <c r="AI10" s="639"/>
      <c r="AJ10" s="639"/>
      <c r="AK10" s="639"/>
      <c r="AL10" s="639"/>
      <c r="AM10" s="639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64">
      <c r="A11" s="2"/>
      <c r="B11" s="2"/>
      <c r="C11" s="2"/>
      <c r="D11" s="2"/>
      <c r="E11" s="2"/>
      <c r="F11" s="2"/>
      <c r="G11" s="157"/>
      <c r="H11" s="157"/>
      <c r="I11" s="157"/>
      <c r="J11" s="15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651"/>
      <c r="AK11" s="652"/>
      <c r="AL11" s="168">
        <v>3</v>
      </c>
      <c r="AM11" s="157" t="s">
        <v>316</v>
      </c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64" ht="15.75" thickBot="1">
      <c r="A12" s="2"/>
      <c r="B12" s="2"/>
      <c r="C12" s="2"/>
      <c r="D12" s="2"/>
      <c r="E12" s="2"/>
      <c r="F12" s="2"/>
      <c r="G12" s="171" t="s">
        <v>162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71" t="s">
        <v>161</v>
      </c>
      <c r="AB12" s="2"/>
      <c r="AC12" s="2"/>
      <c r="AD12" s="2"/>
      <c r="AE12" s="2"/>
      <c r="AF12" s="2"/>
      <c r="AG12" s="2"/>
      <c r="AH12" s="2"/>
      <c r="AI12" s="2"/>
      <c r="AJ12" s="653"/>
      <c r="AK12" s="654"/>
      <c r="AL12" s="164"/>
      <c r="AM12" s="165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64" ht="15.75" thickBo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84"/>
      <c r="AK13" s="163"/>
      <c r="AL13" s="107"/>
      <c r="AM13" s="166"/>
      <c r="AN13" s="640">
        <f>(890-320)*20/1000</f>
        <v>11.4</v>
      </c>
      <c r="AO13" s="641"/>
      <c r="AP13" s="157" t="s">
        <v>315</v>
      </c>
      <c r="AQ13" s="2"/>
      <c r="AR13" s="2"/>
      <c r="AS13" s="2"/>
      <c r="AT13" s="2"/>
      <c r="AU13" s="2"/>
      <c r="AV13" s="2"/>
      <c r="AW13" s="2"/>
    </row>
    <row r="14" spans="1:64" ht="15.75" thickBot="1">
      <c r="A14" s="2"/>
      <c r="B14" s="2"/>
      <c r="C14" s="2"/>
      <c r="D14" s="2"/>
      <c r="E14" s="2"/>
      <c r="F14" s="2"/>
      <c r="G14" s="2"/>
      <c r="H14" s="2"/>
      <c r="I14" s="643"/>
      <c r="J14" s="644"/>
      <c r="K14" s="89"/>
      <c r="L14" s="90"/>
      <c r="M14" s="90"/>
      <c r="N14" s="90"/>
      <c r="O14" s="90"/>
      <c r="P14" s="90"/>
      <c r="Q14" s="90"/>
      <c r="R14" s="642" t="s">
        <v>168</v>
      </c>
      <c r="S14" s="642"/>
      <c r="T14" s="642"/>
      <c r="U14" s="90"/>
      <c r="V14" s="90"/>
      <c r="W14" s="90"/>
      <c r="X14" s="90"/>
      <c r="Y14" s="90"/>
      <c r="Z14" s="90"/>
      <c r="AA14" s="2"/>
      <c r="AB14" s="647"/>
      <c r="AC14" s="648"/>
      <c r="AD14" s="89"/>
      <c r="AE14" s="90"/>
      <c r="AF14" s="642" t="s">
        <v>169</v>
      </c>
      <c r="AG14" s="642"/>
      <c r="AH14" s="642"/>
      <c r="AI14" s="90"/>
      <c r="AJ14" s="90"/>
      <c r="AK14" s="162"/>
      <c r="AL14" s="162"/>
      <c r="AM14" s="167"/>
      <c r="AN14" s="162"/>
      <c r="AO14" s="90"/>
      <c r="AP14" s="90"/>
      <c r="AQ14" s="90"/>
      <c r="AR14" s="2"/>
      <c r="AS14" s="2"/>
      <c r="AT14" s="2"/>
      <c r="AU14" s="2"/>
      <c r="AV14" s="2"/>
      <c r="AW14" s="2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64" ht="15.75" thickBot="1">
      <c r="A15" s="2"/>
      <c r="B15" s="2"/>
      <c r="C15" s="2"/>
      <c r="D15" s="2"/>
      <c r="E15" s="2"/>
      <c r="F15" s="2"/>
      <c r="G15" s="2"/>
      <c r="H15" s="2"/>
      <c r="I15" s="645"/>
      <c r="J15" s="646"/>
      <c r="K15" s="82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5"/>
      <c r="AB15" s="649"/>
      <c r="AC15" s="650"/>
      <c r="AD15" s="82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2"/>
      <c r="AS15" s="2"/>
      <c r="AT15" s="2"/>
      <c r="AU15" s="2"/>
      <c r="AV15" s="2"/>
      <c r="AW15" s="2"/>
    </row>
    <row r="16" spans="1:64" s="80" customFormat="1">
      <c r="A16" s="2"/>
      <c r="B16" s="2"/>
      <c r="C16" s="2"/>
      <c r="D16" s="2"/>
      <c r="E16" s="2"/>
      <c r="F16" s="2"/>
      <c r="G16" s="2"/>
      <c r="H16" s="2"/>
      <c r="I16" s="85"/>
      <c r="J16" s="82"/>
      <c r="K16" s="157"/>
      <c r="L16" s="157"/>
      <c r="M16" s="157"/>
      <c r="N16" s="157"/>
      <c r="O16" s="157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171"/>
      <c r="AK16" s="171"/>
      <c r="AL16" s="171"/>
      <c r="AM16" s="171"/>
      <c r="AN16" s="172" t="s">
        <v>423</v>
      </c>
      <c r="AO16" s="655">
        <v>3</v>
      </c>
      <c r="AP16" s="655"/>
      <c r="AQ16" s="2"/>
      <c r="AR16" s="2"/>
      <c r="AS16" s="2"/>
      <c r="AT16" s="2"/>
      <c r="AU16" s="2"/>
      <c r="AV16" s="2"/>
      <c r="AW16" s="2"/>
    </row>
    <row r="17" spans="1:49">
      <c r="A17" s="2"/>
      <c r="B17" s="2"/>
      <c r="C17" s="2"/>
      <c r="D17" s="2"/>
      <c r="E17" s="2"/>
      <c r="F17" s="2"/>
      <c r="G17" s="2"/>
      <c r="H17" s="157"/>
      <c r="I17" s="294"/>
      <c r="J17" s="295" t="s">
        <v>421</v>
      </c>
      <c r="K17" s="81"/>
      <c r="L17" s="157"/>
      <c r="M17" s="157"/>
      <c r="N17" s="157"/>
      <c r="O17" s="157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81"/>
      <c r="AB17" s="2"/>
      <c r="AC17" s="2"/>
      <c r="AD17" s="2"/>
      <c r="AE17" s="2"/>
      <c r="AF17" s="2"/>
      <c r="AG17" s="2"/>
      <c r="AH17" s="2"/>
      <c r="AI17" s="157"/>
      <c r="AJ17" s="659" t="s">
        <v>320</v>
      </c>
      <c r="AK17" s="659"/>
      <c r="AL17" s="659"/>
      <c r="AM17" s="659"/>
      <c r="AN17" s="659"/>
      <c r="AO17" s="655">
        <f>37+11.4</f>
        <v>48.4</v>
      </c>
      <c r="AP17" s="655"/>
      <c r="AQ17" s="157" t="str">
        <f>AA12</f>
        <v>FLORESTA/PE</v>
      </c>
      <c r="AR17" s="2"/>
      <c r="AS17" s="2"/>
      <c r="AT17" s="2"/>
      <c r="AU17" s="2"/>
      <c r="AV17" s="2"/>
      <c r="AW17" s="2"/>
    </row>
    <row r="18" spans="1:49" ht="15.75" thickBot="1">
      <c r="A18" s="2"/>
      <c r="B18" s="2"/>
      <c r="C18" s="2"/>
      <c r="D18" s="2"/>
      <c r="E18" s="2"/>
      <c r="F18" s="2"/>
      <c r="G18" s="2"/>
      <c r="H18" s="157"/>
      <c r="I18" s="296"/>
      <c r="J18" s="297"/>
      <c r="K18" s="81"/>
      <c r="L18" s="157"/>
      <c r="M18" s="157"/>
      <c r="N18" s="157"/>
      <c r="O18" s="157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81"/>
      <c r="AB18" s="2"/>
      <c r="AC18" s="2"/>
      <c r="AD18" s="2"/>
      <c r="AE18" s="2"/>
      <c r="AF18" s="2"/>
      <c r="AG18" s="2"/>
      <c r="AH18" s="2"/>
      <c r="AI18" s="157"/>
      <c r="AJ18" s="659" t="s">
        <v>320</v>
      </c>
      <c r="AK18" s="659"/>
      <c r="AL18" s="659"/>
      <c r="AM18" s="659"/>
      <c r="AN18" s="659"/>
      <c r="AO18" s="655">
        <f>88+37+11.4</f>
        <v>136.4</v>
      </c>
      <c r="AP18" s="655"/>
      <c r="AQ18" s="2" t="str">
        <f>G12</f>
        <v>SERRA TALHADA/PE</v>
      </c>
      <c r="AR18" s="2"/>
      <c r="AS18" s="2"/>
      <c r="AT18" s="2"/>
      <c r="AU18" s="2"/>
      <c r="AV18" s="2"/>
      <c r="AW18" s="2"/>
    </row>
    <row r="19" spans="1:49">
      <c r="A19" s="2"/>
      <c r="B19" s="2"/>
      <c r="C19" s="2"/>
      <c r="D19" s="2"/>
      <c r="E19" s="2"/>
      <c r="F19" s="2"/>
      <c r="G19" s="2"/>
      <c r="H19" s="157"/>
      <c r="I19" s="643"/>
      <c r="J19" s="644"/>
      <c r="K19" s="657" t="s">
        <v>422</v>
      </c>
      <c r="L19" s="658"/>
      <c r="M19" s="658"/>
      <c r="N19" s="658"/>
      <c r="O19" s="658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81"/>
      <c r="AB19" s="2"/>
      <c r="AC19" s="2"/>
      <c r="AD19" s="2"/>
      <c r="AE19" s="2"/>
      <c r="AF19" s="2"/>
      <c r="AG19" s="2"/>
      <c r="AH19" s="2"/>
      <c r="AI19" s="2"/>
      <c r="AJ19" s="656" t="s">
        <v>320</v>
      </c>
      <c r="AK19" s="656"/>
      <c r="AL19" s="656"/>
      <c r="AM19" s="656"/>
      <c r="AN19" s="656"/>
      <c r="AO19" s="655">
        <f>642+88+37+11.4</f>
        <v>778.4</v>
      </c>
      <c r="AP19" s="655"/>
      <c r="AQ19" s="171" t="str">
        <f>K19</f>
        <v>FORTALEZA/CE</v>
      </c>
      <c r="AR19" s="157"/>
      <c r="AS19" s="157"/>
      <c r="AT19" s="157"/>
      <c r="AU19" s="157"/>
      <c r="AV19" s="157"/>
      <c r="AW19" s="157"/>
    </row>
    <row r="20" spans="1:49" ht="15.75" thickBot="1">
      <c r="A20" s="2"/>
      <c r="B20" s="2"/>
      <c r="C20" s="2"/>
      <c r="D20" s="2"/>
      <c r="E20" s="2"/>
      <c r="F20" s="2"/>
      <c r="G20" s="2"/>
      <c r="H20" s="157"/>
      <c r="I20" s="645"/>
      <c r="J20" s="646"/>
      <c r="K20" s="657"/>
      <c r="L20" s="658"/>
      <c r="M20" s="658"/>
      <c r="N20" s="658"/>
      <c r="O20" s="658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157"/>
      <c r="AK20" s="157"/>
      <c r="AL20" s="157"/>
      <c r="AM20" s="157"/>
      <c r="AN20" s="157"/>
      <c r="AO20" s="157"/>
      <c r="AP20" s="157"/>
      <c r="AQ20" s="2"/>
      <c r="AR20" s="2"/>
      <c r="AS20" s="2"/>
      <c r="AT20" s="2"/>
      <c r="AU20" s="2"/>
      <c r="AV20" s="2"/>
      <c r="AW20" s="2"/>
    </row>
    <row r="21" spans="1:49" ht="15.7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2"/>
      <c r="B22" s="2"/>
      <c r="C22" s="2"/>
      <c r="D22" s="2"/>
      <c r="E22" s="2"/>
      <c r="F22" s="82"/>
      <c r="G22" s="83" t="s">
        <v>164</v>
      </c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2"/>
      <c r="B23" s="2"/>
      <c r="C23" s="2"/>
      <c r="D23" s="2"/>
      <c r="E23" s="2"/>
      <c r="F23" s="86"/>
      <c r="G23" s="4"/>
      <c r="H23" s="4"/>
      <c r="I23" s="4"/>
      <c r="J23" s="4"/>
      <c r="K23" s="87" t="s">
        <v>14</v>
      </c>
      <c r="L23" s="4" t="s">
        <v>165</v>
      </c>
      <c r="M23" s="4" t="s">
        <v>166</v>
      </c>
      <c r="N23" s="4"/>
      <c r="O23" s="4"/>
      <c r="P23" s="4"/>
      <c r="Q23" s="4"/>
      <c r="R23" s="4"/>
      <c r="S23" s="4"/>
      <c r="T23" s="4"/>
      <c r="U23" s="88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2"/>
      <c r="B24" s="2"/>
      <c r="C24" s="2"/>
      <c r="D24" s="2"/>
      <c r="E24" s="2"/>
      <c r="F24" s="86"/>
      <c r="G24" s="4"/>
      <c r="H24" s="4"/>
      <c r="I24" s="4"/>
      <c r="J24" s="4"/>
      <c r="K24" s="87" t="s">
        <v>13</v>
      </c>
      <c r="L24" s="4" t="s">
        <v>165</v>
      </c>
      <c r="M24" s="4" t="s">
        <v>167</v>
      </c>
      <c r="N24" s="4"/>
      <c r="O24" s="4"/>
      <c r="P24" s="4"/>
      <c r="Q24" s="4"/>
      <c r="R24" s="4"/>
      <c r="S24" s="4"/>
      <c r="T24" s="4"/>
      <c r="U24" s="88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 ht="15.75" thickBot="1">
      <c r="A25" s="2"/>
      <c r="B25" s="2"/>
      <c r="C25" s="2"/>
      <c r="D25" s="2"/>
      <c r="E25" s="2"/>
      <c r="F25" s="89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1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84" spans="2:2">
      <c r="B84" t="s">
        <v>244</v>
      </c>
    </row>
  </sheetData>
  <mergeCells count="17">
    <mergeCell ref="AO16:AP16"/>
    <mergeCell ref="AJ19:AN19"/>
    <mergeCell ref="AO19:AP19"/>
    <mergeCell ref="I19:J20"/>
    <mergeCell ref="K19:O20"/>
    <mergeCell ref="AJ18:AN18"/>
    <mergeCell ref="AO18:AP18"/>
    <mergeCell ref="AO17:AP17"/>
    <mergeCell ref="AJ17:AN17"/>
    <mergeCell ref="A5:AW5"/>
    <mergeCell ref="AH8:AM10"/>
    <mergeCell ref="AN13:AO13"/>
    <mergeCell ref="AF14:AH14"/>
    <mergeCell ref="R14:T14"/>
    <mergeCell ref="I14:J15"/>
    <mergeCell ref="AB14:AC15"/>
    <mergeCell ref="AJ11:AK1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CAPA</vt:lpstr>
      <vt:lpstr>RESUMO</vt:lpstr>
      <vt:lpstr>ORÇAMENTO</vt:lpstr>
      <vt:lpstr>CRONOGRAMA</vt:lpstr>
      <vt:lpstr>MEMÓRIA</vt:lpstr>
      <vt:lpstr>MEMÓRIA - REMOÇÃO DE BLOCOS</vt:lpstr>
      <vt:lpstr>TRANSPORTES</vt:lpstr>
      <vt:lpstr>TRANSP.MAT.BET.REAJ.</vt:lpstr>
      <vt:lpstr>DMT</vt:lpstr>
      <vt:lpstr>BDI</vt:lpstr>
      <vt:lpstr>CAPA!Area_de_impressao</vt:lpstr>
      <vt:lpstr>CRONOGRAMA!Area_de_impressao</vt:lpstr>
      <vt:lpstr>DMT!Area_de_impressao</vt:lpstr>
      <vt:lpstr>MEMÓRIA!Area_de_impressao</vt:lpstr>
      <vt:lpstr>ORÇAMENTO!Area_de_impressao</vt:lpstr>
      <vt:lpstr>RESUMO!Area_de_impressao</vt:lpstr>
      <vt:lpstr>TRANSP.MAT.BET.REAJ.!Area_de_impressao</vt:lpstr>
      <vt:lpstr>TRANSPORTES!Area_de_impressao</vt:lpstr>
      <vt:lpstr>CRONOGRAMA!Titulos_de_impressao</vt:lpstr>
      <vt:lpstr>MEMÓRIA!Titulos_de_impressao</vt:lpstr>
      <vt:lpstr>ORÇAMENTO!Titulos_de_impressao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Luciano Alves do Nascimento</cp:lastModifiedBy>
  <cp:lastPrinted>2023-07-27T16:11:20Z</cp:lastPrinted>
  <dcterms:created xsi:type="dcterms:W3CDTF">2021-02-03T16:36:55Z</dcterms:created>
  <dcterms:modified xsi:type="dcterms:W3CDTF">2023-08-18T12:54:11Z</dcterms:modified>
</cp:coreProperties>
</file>