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/>
  <mc:AlternateContent xmlns:mc="http://schemas.openxmlformats.org/markup-compatibility/2006">
    <mc:Choice Requires="x15">
      <x15ac:absPath xmlns:x15ac="http://schemas.microsoft.com/office/spreadsheetml/2010/11/ac" url="C:\Users\kleng\OneDrive\Área de Trabalho\CODEVASF\"/>
    </mc:Choice>
  </mc:AlternateContent>
  <xr:revisionPtr revIDLastSave="0" documentId="8_{134CF332-A263-45D5-99FC-A5A0B7C9D98E}" xr6:coauthVersionLast="47" xr6:coauthVersionMax="47" xr10:uidLastSave="{00000000-0000-0000-0000-000000000000}"/>
  <bookViews>
    <workbookView xWindow="-120" yWindow="-120" windowWidth="24240" windowHeight="13020" tabRatio="838" firstSheet="3" activeTab="8" xr2:uid="{00000000-000D-0000-FFFF-FFFF00000000}"/>
  </bookViews>
  <sheets>
    <sheet name="Resumo" sheetId="1" r:id="rId1"/>
    <sheet name="FSUP" sheetId="2" r:id="rId2"/>
    <sheet name="FSUP-I EQUIPE TÉCNICA" sheetId="3" r:id="rId3"/>
    <sheet name="FSUP-II VIAGENS" sheetId="4" r:id="rId4"/>
    <sheet name="FSUP-III Manutenção Operac" sheetId="5" r:id="rId5"/>
    <sheet name="FSUP-IV Mobiliz Desmob" sheetId="6" r:id="rId6"/>
    <sheet name="FSUP-V Det. custos Adm." sheetId="7" r:id="rId7"/>
    <sheet name="FSUP-VI Det. Desp Fiscais" sheetId="8" r:id="rId8"/>
    <sheet name="FSUP-VII Det. Enc. Sociais" sheetId="9" r:id="rId9"/>
  </sheets>
  <externalReferences>
    <externalReference r:id="rId10"/>
  </externalReferences>
  <definedNames>
    <definedName name="_xlnm.Print_Area" localSheetId="1">FSUP!$A$1:$O$47</definedName>
    <definedName name="_xlnm.Print_Area" localSheetId="2">'FSUP-I EQUIPE TÉCNICA'!$A$1:$M$51</definedName>
    <definedName name="_xlnm.Print_Area" localSheetId="3">'FSUP-II VIAGENS'!$A$1:$O$45</definedName>
    <definedName name="_xlnm.Print_Area" localSheetId="4">'FSUP-III Manutenção Operac'!$A$3:$K$56</definedName>
    <definedName name="_xlnm.Print_Area" localSheetId="5">'FSUP-IV Mobiliz Desmob'!$A$1:$N$47</definedName>
    <definedName name="_xlnm.Print_Area" localSheetId="7">'FSUP-VI Det. Desp Fiscais'!$A$1:$H$45</definedName>
    <definedName name="_xlnm.Print_Area" localSheetId="0">Resumo!$A$1:$O$4</definedName>
    <definedName name="COD_ATRIUM">#REF!</definedName>
    <definedName name="COD_SINAPI">#REF!</definedName>
    <definedName name="Excel_BuiltIn_Print_Area_10_1">#REF!</definedName>
    <definedName name="Excel_BuiltIn_Print_Area_11_1">#REF!</definedName>
    <definedName name="Excel_BuiltIn_Print_Area_13_1">('[1]Planilha IV'!$A$1:$F$35,'[1]Planilha IV'!$A$36:$F$101,'[1]Planilha IV'!$A$102:$F$146,'[1]Planilha IV'!$A$147:$F$224,'[1]Planilha IV'!$A$225:$F$283,'[1]Planilha IV'!$A$284:$F$369)</definedName>
    <definedName name="Excel_BuiltIn_Print_Area_15_1">#REF!</definedName>
    <definedName name="Excel_BuiltIn_Print_Area_16_1">#REF!</definedName>
    <definedName name="Excel_BuiltIn_Print_Area_17_1">#REF!</definedName>
    <definedName name="Excel_BuiltIn_Print_Area_18_1">#REF!</definedName>
    <definedName name="Excel_BuiltIn_Print_Area_20">#REF!</definedName>
    <definedName name="Excel_BuiltIn_Print_Area_4">'[1]Item 1.3 Adm. Local'!#REF!</definedName>
    <definedName name="Excel_BuiltIn_Print_Area_7_1">('[1]Item 1.3 Adm. Local'!#REF!,'[1]Item 1.3 Adm. Local'!#REF!,'[1]Item 1.3 Adm. Local'!#REF!,'[1]Item 1.3 Adm. Local'!#REF!,'[1]Item 1.3 Adm. Local'!#REF!)</definedName>
    <definedName name="Excel_BuiltIn_Print_Area_7_1_1">'[1]Item 1.3 Adm. Local'!#REF!</definedName>
    <definedName name="Excel_BuiltIn_Print_Area_8_1">('[1]Item 1.3 Adm. Local'!#REF!,'[1]Item 1.3 Adm. Local'!#REF!,'[1]Item 1.3 Adm. Local'!#REF!,'[1]Item 1.3 Adm. Local'!#REF!,'[1]Item 1.3 Adm. Local'!#REF!)</definedName>
    <definedName name="Excel_BuiltIn_Print_Area_9_1">#REF!</definedName>
    <definedName name="Excel_BuiltIn_Print_Titles_10">#REF!</definedName>
    <definedName name="Excel_BuiltIn_Print_Titles_13_1">#REF!</definedName>
    <definedName name="Excel_BuiltIn_Print_Titles_16">#REF!</definedName>
    <definedName name="Excel_BuiltIn_Print_Titles_18">#REF!</definedName>
    <definedName name="Excel_BuiltIn_Print_Titles_20">#REF!</definedName>
    <definedName name="Excel_BuiltIn_Print_Titles_9">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8" i="3" l="1"/>
  <c r="F18" i="3"/>
  <c r="M17" i="3"/>
  <c r="F17" i="3"/>
  <c r="C8" i="4"/>
  <c r="R13" i="4"/>
  <c r="F16" i="3"/>
  <c r="M16" i="3"/>
  <c r="M15" i="3" l="1"/>
  <c r="L25" i="3" l="1"/>
  <c r="L27" i="3" l="1"/>
  <c r="L19" i="3" l="1"/>
  <c r="L20" i="3"/>
  <c r="L21" i="3"/>
  <c r="L22" i="3"/>
  <c r="L23" i="3"/>
  <c r="M14" i="3"/>
  <c r="M30" i="3" s="1"/>
  <c r="N16" i="2" s="1"/>
  <c r="N19" i="2" s="1"/>
  <c r="L30" i="3" l="1"/>
  <c r="N15" i="2" s="1"/>
  <c r="I19" i="5"/>
  <c r="I20" i="5"/>
  <c r="I21" i="5"/>
  <c r="I22" i="5"/>
  <c r="I23" i="5"/>
  <c r="I24" i="5"/>
  <c r="I18" i="5"/>
  <c r="N17" i="2" l="1"/>
  <c r="I25" i="5"/>
  <c r="N27" i="2" s="1"/>
  <c r="F47" i="9"/>
  <c r="F42" i="9"/>
  <c r="F34" i="9"/>
  <c r="F21" i="9"/>
  <c r="G16" i="9"/>
  <c r="C8" i="9"/>
  <c r="F29" i="8"/>
  <c r="G13" i="8"/>
  <c r="G12" i="8"/>
  <c r="C8" i="8"/>
  <c r="F17" i="7"/>
  <c r="A34" i="2" s="1"/>
  <c r="C8" i="7"/>
  <c r="H25" i="6"/>
  <c r="G14" i="6"/>
  <c r="C8" i="6"/>
  <c r="I39" i="5"/>
  <c r="I40" i="5" s="1"/>
  <c r="N30" i="2" s="1"/>
  <c r="I36" i="5"/>
  <c r="I35" i="5"/>
  <c r="I34" i="5"/>
  <c r="I33" i="5"/>
  <c r="I30" i="5"/>
  <c r="I29" i="5"/>
  <c r="I28" i="5"/>
  <c r="I27" i="5"/>
  <c r="I14" i="5"/>
  <c r="I13" i="5"/>
  <c r="I12" i="5"/>
  <c r="C8" i="5"/>
  <c r="M13" i="4"/>
  <c r="H13" i="4"/>
  <c r="G41" i="9"/>
  <c r="G27" i="3"/>
  <c r="G25" i="3"/>
  <c r="G23" i="3"/>
  <c r="G22" i="3"/>
  <c r="G21" i="3"/>
  <c r="G20" i="3"/>
  <c r="G19" i="3"/>
  <c r="G18" i="3"/>
  <c r="G17" i="3"/>
  <c r="G16" i="3"/>
  <c r="G15" i="3"/>
  <c r="F15" i="3"/>
  <c r="G14" i="3"/>
  <c r="F14" i="3"/>
  <c r="C8" i="3"/>
  <c r="H31" i="4" l="1"/>
  <c r="N21" i="2"/>
  <c r="A36" i="8"/>
  <c r="A42" i="8"/>
  <c r="M31" i="4"/>
  <c r="N22" i="2"/>
  <c r="N23" i="2" s="1"/>
  <c r="F49" i="9"/>
  <c r="I37" i="5"/>
  <c r="N29" i="2" s="1"/>
  <c r="G14" i="8"/>
  <c r="G29" i="8" s="1"/>
  <c r="I14" i="6" s="1"/>
  <c r="M15" i="6" s="1"/>
  <c r="K15" i="6"/>
  <c r="I15" i="5"/>
  <c r="N26" i="2" s="1"/>
  <c r="H15" i="3"/>
  <c r="H14" i="3"/>
  <c r="I31" i="5"/>
  <c r="N28" i="2" s="1"/>
  <c r="G25" i="9"/>
  <c r="G33" i="9"/>
  <c r="G17" i="9"/>
  <c r="G26" i="9"/>
  <c r="G18" i="9"/>
  <c r="G27" i="9"/>
  <c r="G45" i="9"/>
  <c r="G19" i="9"/>
  <c r="G28" i="9"/>
  <c r="G37" i="9"/>
  <c r="G46" i="9"/>
  <c r="G12" i="9"/>
  <c r="G20" i="9"/>
  <c r="G29" i="9"/>
  <c r="G38" i="9"/>
  <c r="G13" i="9"/>
  <c r="G30" i="9"/>
  <c r="G39" i="9"/>
  <c r="G14" i="9"/>
  <c r="G31" i="9"/>
  <c r="G40" i="9"/>
  <c r="G15" i="9"/>
  <c r="G24" i="9"/>
  <c r="G32" i="9"/>
  <c r="H14" i="6"/>
  <c r="F20" i="3" l="1"/>
  <c r="H20" i="3" s="1"/>
  <c r="A18" i="2"/>
  <c r="H16" i="3"/>
  <c r="I16" i="3" s="1"/>
  <c r="J16" i="3" s="1"/>
  <c r="K16" i="3" s="1"/>
  <c r="N18" i="2"/>
  <c r="N20" i="2" s="1"/>
  <c r="F25" i="3"/>
  <c r="H25" i="3" s="1"/>
  <c r="H18" i="3"/>
  <c r="I18" i="3" s="1"/>
  <c r="J18" i="3" s="1"/>
  <c r="K18" i="3" s="1"/>
  <c r="F22" i="3"/>
  <c r="H22" i="3" s="1"/>
  <c r="I22" i="3" s="1"/>
  <c r="J22" i="3" s="1"/>
  <c r="K22" i="3" s="1"/>
  <c r="A40" i="3"/>
  <c r="F23" i="3"/>
  <c r="H23" i="3" s="1"/>
  <c r="I23" i="3" s="1"/>
  <c r="J23" i="3" s="1"/>
  <c r="K23" i="3" s="1"/>
  <c r="H17" i="3"/>
  <c r="F21" i="3"/>
  <c r="H21" i="3" s="1"/>
  <c r="F19" i="3"/>
  <c r="H19" i="3" s="1"/>
  <c r="I19" i="3" s="1"/>
  <c r="F27" i="3"/>
  <c r="H27" i="3" s="1"/>
  <c r="I20" i="3"/>
  <c r="J20" i="3" s="1"/>
  <c r="K20" i="3" s="1"/>
  <c r="N13" i="4"/>
  <c r="O13" i="4" s="1"/>
  <c r="O31" i="4" s="1"/>
  <c r="J33" i="5"/>
  <c r="K33" i="5" s="1"/>
  <c r="J22" i="5"/>
  <c r="K22" i="5" s="1"/>
  <c r="J28" i="5"/>
  <c r="K28" i="5" s="1"/>
  <c r="J23" i="5"/>
  <c r="K23" i="5" s="1"/>
  <c r="J29" i="5"/>
  <c r="K29" i="5" s="1"/>
  <c r="J24" i="5"/>
  <c r="K24" i="5" s="1"/>
  <c r="J30" i="5"/>
  <c r="K30" i="5" s="1"/>
  <c r="J13" i="5"/>
  <c r="K13" i="5" s="1"/>
  <c r="I13" i="4"/>
  <c r="J13" i="4" s="1"/>
  <c r="J31" i="4" s="1"/>
  <c r="I25" i="6"/>
  <c r="J25" i="6" s="1"/>
  <c r="J39" i="5"/>
  <c r="K39" i="5" s="1"/>
  <c r="K40" i="5" s="1"/>
  <c r="J27" i="5"/>
  <c r="K27" i="5" s="1"/>
  <c r="J34" i="5"/>
  <c r="K34" i="5" s="1"/>
  <c r="J19" i="5"/>
  <c r="K19" i="5" s="1"/>
  <c r="J14" i="5"/>
  <c r="K14" i="5" s="1"/>
  <c r="J20" i="5"/>
  <c r="K20" i="5" s="1"/>
  <c r="J12" i="5"/>
  <c r="K12" i="5" s="1"/>
  <c r="J36" i="5"/>
  <c r="K36" i="5" s="1"/>
  <c r="J21" i="5"/>
  <c r="K21" i="5" s="1"/>
  <c r="J18" i="5"/>
  <c r="K18" i="5" s="1"/>
  <c r="J35" i="5"/>
  <c r="K35" i="5" s="1"/>
  <c r="A43" i="8"/>
  <c r="A36" i="2"/>
  <c r="A43" i="4"/>
  <c r="A49" i="5"/>
  <c r="L15" i="6"/>
  <c r="L41" i="6" s="1"/>
  <c r="I15" i="3"/>
  <c r="J15" i="3" s="1"/>
  <c r="K15" i="3" s="1"/>
  <c r="I14" i="3"/>
  <c r="J14" i="3" s="1"/>
  <c r="K14" i="3" s="1"/>
  <c r="N34" i="2"/>
  <c r="G42" i="9"/>
  <c r="G34" i="9"/>
  <c r="G47" i="9"/>
  <c r="G21" i="9"/>
  <c r="H41" i="6"/>
  <c r="J14" i="6"/>
  <c r="N32" i="2"/>
  <c r="I21" i="3" l="1"/>
  <c r="J21" i="3" s="1"/>
  <c r="K21" i="3" s="1"/>
  <c r="G11" i="7"/>
  <c r="I25" i="3"/>
  <c r="J25" i="3" s="1"/>
  <c r="K25" i="3" s="1"/>
  <c r="J19" i="3"/>
  <c r="K19" i="3" s="1"/>
  <c r="I17" i="3"/>
  <c r="J17" i="3" s="1"/>
  <c r="K17" i="3" s="1"/>
  <c r="I27" i="3"/>
  <c r="J27" i="3" s="1"/>
  <c r="K27" i="3" s="1"/>
  <c r="K25" i="5"/>
  <c r="K31" i="5"/>
  <c r="K37" i="5"/>
  <c r="K15" i="5"/>
  <c r="J41" i="6"/>
  <c r="N15" i="6"/>
  <c r="N41" i="6" s="1"/>
  <c r="N13" i="2"/>
  <c r="N33" i="2" s="1"/>
  <c r="G12" i="7"/>
  <c r="G13" i="7"/>
  <c r="G49" i="9"/>
  <c r="N1" i="1" l="1"/>
  <c r="G17" i="7"/>
  <c r="N35" i="2"/>
  <c r="N36" i="2" l="1"/>
  <c r="H14" i="8" s="1"/>
  <c r="N37" i="2" l="1"/>
  <c r="H12" i="8"/>
  <c r="H13" i="8"/>
  <c r="H29" i="8" l="1"/>
  <c r="N38" i="2"/>
  <c r="P37" i="2" s="1"/>
  <c r="P38" i="2" s="1"/>
  <c r="N2" i="1"/>
  <c r="Q38" i="2" l="1"/>
  <c r="N3" i="1"/>
</calcChain>
</file>

<file path=xl/sharedStrings.xml><?xml version="1.0" encoding="utf-8"?>
<sst xmlns="http://schemas.openxmlformats.org/spreadsheetml/2006/main" count="455" uniqueCount="289">
  <si>
    <t>TOTAL DOS CUSTOS DIRETOS</t>
  </si>
  <si>
    <t>TOTAL DO CUSTOS INDIRETOS</t>
  </si>
  <si>
    <t>TOTAL DA PROPOSTA</t>
  </si>
  <si>
    <t>PROPOSTA FINANCEIRA SUP. E APOIO A FISC. DE OBRA</t>
  </si>
  <si>
    <t>CODIGO:</t>
  </si>
  <si>
    <t>FSUP</t>
  </si>
  <si>
    <t>NOME DA CONSULTORA:</t>
  </si>
  <si>
    <t>KL SERVIÇOS DE ENGENHARIA S.A</t>
  </si>
  <si>
    <t>PROJETO:</t>
  </si>
  <si>
    <t>OBJETO:</t>
  </si>
  <si>
    <t>EDITAL:</t>
  </si>
  <si>
    <t>Meio Ambiente</t>
  </si>
  <si>
    <t>Serviços Especializados de Assessoria Ambiental</t>
  </si>
  <si>
    <t>66/2023</t>
  </si>
  <si>
    <t>SERVIÇOS PAGOS A PREÇO UNITÁRIO</t>
  </si>
  <si>
    <t>MOBILIZAÇÃO/DESMOBILIZAÇÃO</t>
  </si>
  <si>
    <t xml:space="preserve"> A1 - MOBILIZAÇÃO (FSUP-IV)</t>
  </si>
  <si>
    <t xml:space="preserve"> A2 - DESMOBILIZAÇÃO (FSUP-IV)</t>
  </si>
  <si>
    <t xml:space="preserve"> A - TOTAL DOS CUSTOS COM MOBILIZAÇÃO E DESMOBILIZAÇÃO</t>
  </si>
  <si>
    <t>MÃO-DE-OBRA</t>
  </si>
  <si>
    <t xml:space="preserve"> B1 - TOTAL DE SALÁRIO DA EQUIPE COM VÍNCULO (FSUP-I)</t>
  </si>
  <si>
    <t xml:space="preserve"> B2 - TOTAL DE SALÁRIO DO AUTÔNOMO (FSUP-I)</t>
  </si>
  <si>
    <t xml:space="preserve"> B - TOTAL DOS CUSTOS DE SALÁRIOS DA EQUIPE</t>
  </si>
  <si>
    <t xml:space="preserve"> C2 - ENCARGOS SOCIAIS DE B2 (20% DO B2)</t>
  </si>
  <si>
    <t xml:space="preserve"> C - TOTAL DOS CUSTOS COM ENCARGOS SOCIAIS</t>
  </si>
  <si>
    <t xml:space="preserve"> D1 - CUSTO TOTAL DAS PASSAGENS AÉREAS E TERRESTRES (FSUP-II)</t>
  </si>
  <si>
    <t xml:space="preserve"> D2 - CUSTO TOTAL DAS DIÁRIAS (FSUP-II)</t>
  </si>
  <si>
    <t xml:space="preserve"> D - TOTAL DO CUSTO COM VIAGENS</t>
  </si>
  <si>
    <t>MANUTENÇÃO OPERACIONAL</t>
  </si>
  <si>
    <t xml:space="preserve"> 1 - CUSTO DOS VEÍCULOS (FSUP-III, ITEM 1)</t>
  </si>
  <si>
    <t xml:space="preserve"> 2 - CUSTO DA MANUTENÇÃO E ADMINISTRAÇÃO DO ESCRITÓRIO DE APOIO (FSUP-III, ITEM 2)</t>
  </si>
  <si>
    <t xml:space="preserve"> 3 - EQUIPAMENTO (FSUP-III, ITEM 3)</t>
  </si>
  <si>
    <t xml:space="preserve"> 4 - SERVIÇOS GRÁFICOS/COMPUTAÇÃO  (FSUP-III, ITEM 4)</t>
  </si>
  <si>
    <t xml:space="preserve"> 5 - MONITORAMENTO DE QUALIDADE DE ÁGUA  (FSUP-III, ITEM 5)</t>
  </si>
  <si>
    <t>E - TOTAL DOS PREÇOS COM MANUTENÇÃO OPERACIONAL</t>
  </si>
  <si>
    <t xml:space="preserve"> G - REMUNERAÇÃO DA EMPRESA (LUCRO) = (10% DE A + B + C + D + E + F)</t>
  </si>
  <si>
    <t>NOME DO INFORMANTE:</t>
  </si>
  <si>
    <t>QUALIFICAÇÃO:</t>
  </si>
  <si>
    <t>JOSÉ CÉLIO ARAÚJO DE OLIVEIRA JÚNIOR</t>
  </si>
  <si>
    <t>DIRETOR PRESIDENTE</t>
  </si>
  <si>
    <t>ASSINATURA:</t>
  </si>
  <si>
    <t>DATA:</t>
  </si>
  <si>
    <t>OBSERVAÇÃO:</t>
  </si>
  <si>
    <t>SALÁRIOS DA EQUIPE TÉCNICA</t>
  </si>
  <si>
    <t>FSUP- I</t>
  </si>
  <si>
    <t>EQUIPE TÉCNICA</t>
  </si>
  <si>
    <t>COMPOSIÇÃO DOS SALÁRIOS POR PROFISSÃO/FUNÇÃO</t>
  </si>
  <si>
    <t xml:space="preserve">CUSTOS </t>
  </si>
  <si>
    <t>SALÁRIO</t>
  </si>
  <si>
    <t>ENC.</t>
  </si>
  <si>
    <t xml:space="preserve">CUSTO </t>
  </si>
  <si>
    <t>R. EMP.</t>
  </si>
  <si>
    <t>DESP.</t>
  </si>
  <si>
    <t>HORA</t>
  </si>
  <si>
    <t>PROFISSÃO/FUNÇÃO</t>
  </si>
  <si>
    <t>S</t>
  </si>
  <si>
    <t>QTD</t>
  </si>
  <si>
    <t>CATEG.</t>
  </si>
  <si>
    <t>SOCIAIS</t>
  </si>
  <si>
    <t>ADM.</t>
  </si>
  <si>
    <t>LUCRO</t>
  </si>
  <si>
    <t>FISCAIS</t>
  </si>
  <si>
    <t>MENSAL</t>
  </si>
  <si>
    <t>TÉCNICA</t>
  </si>
  <si>
    <t>B1</t>
  </si>
  <si>
    <t>B2</t>
  </si>
  <si>
    <t>NÍVEL SUPERIOR</t>
  </si>
  <si>
    <t>Engenheiro consultor especial (SICRO P8060)</t>
  </si>
  <si>
    <t>C</t>
  </si>
  <si>
    <t>Coordenador ambiental (SICRO P8044)</t>
  </si>
  <si>
    <t>P</t>
  </si>
  <si>
    <t>Engenheiro Auxiliar (Ambiental, Florestal, Agrônomo, Agrícola, etc) (SICRO P9946)</t>
  </si>
  <si>
    <t>Geólogo (SICRO P8080)</t>
  </si>
  <si>
    <t>Biólogo Senior (SICRO P8034)</t>
  </si>
  <si>
    <t>Comunição Socioambiental / Jornalista (SICRO P8094)</t>
  </si>
  <si>
    <t>Pedagogo sênior (SICRO P8131)</t>
  </si>
  <si>
    <t>Paleontólogo/Arqueólogo/Antropólogo sênior (SICRO P8191)</t>
  </si>
  <si>
    <t>Economista / Sociólogo pleno (SICRO P8046)</t>
  </si>
  <si>
    <t>Assistente Social pleno (SICRO P8020)</t>
  </si>
  <si>
    <t>NÍVEL TÉCNICO</t>
  </si>
  <si>
    <t>Técnico Ambiental / Geoprocessamento (SICRO P8143)</t>
  </si>
  <si>
    <t>T</t>
  </si>
  <si>
    <t>NÍVEL AUXILIAR</t>
  </si>
  <si>
    <t>Auxiliar ( SICRO P8025)</t>
  </si>
  <si>
    <t>A</t>
  </si>
  <si>
    <t>APOIO</t>
  </si>
  <si>
    <t>TOTAIS DOS  SALÁRIOS DA EQUIPE</t>
  </si>
  <si>
    <t>1 - UTILIZAR  OS PARÂMETROS DE CLASSIFICAÇÃO  INDICADOS NO TSUP- II EQUIPE TÉCNICA</t>
  </si>
  <si>
    <t>2- UTILIZAR OS SÍMBOLOS INDICADOS NO TSUP-II EQUIPE TÉCNICA</t>
  </si>
  <si>
    <t xml:space="preserve">3- INDICAR A QUANTIDADE DE HOMENS POR CATEGORIA. </t>
  </si>
  <si>
    <t>4- INIDCAR O SALÁRIO BASE DA CATEGORIA</t>
  </si>
  <si>
    <t>6- CUSTO DE ADMINISTRAÇÃO, APLICAR NO MÁXIMO 25% SOBRE O SALÁRIO BASE DA CATEGORIA</t>
  </si>
  <si>
    <t>7 - REMUN. DA EMPRESA (LUCRO), APLICAR NO MÁXIMO 10% SOBRE O SALÁRIO DA CATEG + ENCARGOS SOCIAIS + CUSTO DE ADM.</t>
  </si>
  <si>
    <r>
      <t xml:space="preserve">8 - DESP. FISCAIS, APLICAR O </t>
    </r>
    <r>
      <rPr>
        <b/>
        <sz val="7"/>
        <rFont val="Arial"/>
        <family val="2"/>
      </rPr>
      <t xml:space="preserve">DF' </t>
    </r>
    <r>
      <rPr>
        <sz val="7"/>
        <rFont val="Arial"/>
        <family val="2"/>
      </rPr>
      <t xml:space="preserve">CALCULADO NO FSUP-VI SOBRE O SALÁRIO DA CATEG. + ENC. SOCIAIS + CUSTO DE ADM. + LUCRO </t>
    </r>
  </si>
  <si>
    <t xml:space="preserve">9- PREÇO DO HOMEM MÊS POR CATEGORIA = SOMATÓRIO DOS ITENS   (4) + (5) + (6) + (7) +(8) </t>
  </si>
  <si>
    <t>10- PREÇO DA HORA TÉCNICA = (9) / 176</t>
  </si>
  <si>
    <t>11 - SALÁRIOS DE B1 = SALARIO DOS EMPREGADOS COM VÍNCULO X QTD HOMEM MÊS. EXPORTAR O TOTAL PARA LINHA B1 DO FSUP</t>
  </si>
  <si>
    <t>12 - SALÁRIO DE B2 = SALÁRIO DO AUTÔNOMO X QTD HOMEM X MÊS. EXPORTAR O TOTAL PARA A LINHA B2 DO FSUP</t>
  </si>
  <si>
    <t>13 - A DEPENDER DA TIPOLOGIA DO ESTUDO, A FORMAÇÃO DO PROFISSIONAL MOBILIZADO PODE SER SUBSTITUÍDO POR OUTRO DE SALÁRIO EQUIVALENTE, COM A AUTORIZAÇÃO DO FISCAL</t>
  </si>
  <si>
    <t>14 - O PROFISSIONAL DE SERVIÇOS DE CAMPO DEVERÁ TER OS EQUIPAMENTOS INERENTES À SUA ESPECIALIDADE. EX.: BIÓLOGO COM ARMADILHAS DE FAUNA</t>
  </si>
  <si>
    <t>15 - É DISCRICIONÁRIO APRESENTAÇÃO DE PROPOSTA COM PROFISSIONAIS COM OU SEM ENCARGOS SOCIAIS</t>
  </si>
  <si>
    <t>16 - O QUANTITATIVO NÃO PODE SER ALTERADO TENDO EM VISTA A BASE DO MEMORIAL DE CÁLCULO AO LONGO DA VIGÊNCIA CONTRATUAL</t>
  </si>
  <si>
    <t>VIAGENS DA EQUIPE TÉCNICA</t>
  </si>
  <si>
    <t>FSUP-II</t>
  </si>
  <si>
    <t>SIMBOLO</t>
  </si>
  <si>
    <t>ROTEIRO (ida e volta)</t>
  </si>
  <si>
    <t>PASSAGENS</t>
  </si>
  <si>
    <t>DIÁRIAS</t>
  </si>
  <si>
    <t>A/T</t>
  </si>
  <si>
    <t>CUSTO</t>
  </si>
  <si>
    <t>PREÇO</t>
  </si>
  <si>
    <t>UNITÁRIO</t>
  </si>
  <si>
    <t>TOTAL</t>
  </si>
  <si>
    <t>C/P0/P1/P2/T1</t>
  </si>
  <si>
    <t>Sede/Diversos/Sede</t>
  </si>
  <si>
    <t>TOTAIS DE CUSTOS E DE PREÇOS DE PASSAGENS E DIÁRIAS</t>
  </si>
  <si>
    <t>OBSERVAÇÕES:</t>
  </si>
  <si>
    <t xml:space="preserve">1 - VIAGENS DURANTE  A EXECUÇÃO DOS SERVIÇOS,  INCLUÍNDO REUNIÕES NA ADM. CENTRAL DA CODEVASF </t>
  </si>
  <si>
    <t>2 - NÂO INCLUIR  VIAGENS COM MOBILIZAÇÃO/DESMOBILIZAÇÃO DA EQUIPE QUE SERÃO CALCULADOS NO PSUP-IV</t>
  </si>
  <si>
    <t>3 - AS DIÁRIAS COBREM DESPESAS COM TAXI, ALIMENTAÇÃO E HOSPEDAGEM</t>
  </si>
  <si>
    <t>4 - INDICAR (A) PARA AS PASSAGENS  AÉREAS</t>
  </si>
  <si>
    <t>5 - CUSTO DO ITEM SEM LUCRO E SEM DESPESAS FISCAIS</t>
  </si>
  <si>
    <t>6 - EXPORTAR O TOTAL DO CUSTO COM PASSAGENS E DIÁRIAS, RESPECTIVAMENTE,  LINHAS  "D1" E "D2" DO PSUP</t>
  </si>
  <si>
    <t>7 - OS PREÇOS UNITÁRIOS SERÃO UTILIZADOS PARA FINS  DE FATURARAMENTO</t>
  </si>
  <si>
    <t>8 - AS PASSAGENS AÉREAS POSSUEM VALOR UNITÁRIO MÉDIO ENTRE OS TRECHOS BSB x SSA / BSB x BH / BSB x REC / BSB x THE</t>
  </si>
  <si>
    <t xml:space="preserve"> MANUTENÇÃO OPERACIONAL</t>
  </si>
  <si>
    <t>FSUP-III</t>
  </si>
  <si>
    <t xml:space="preserve">Meio Ambiente </t>
  </si>
  <si>
    <t>DISCRIMINAÇÃO</t>
  </si>
  <si>
    <t>UND</t>
  </si>
  <si>
    <r>
      <t xml:space="preserve">CUSTOS </t>
    </r>
    <r>
      <rPr>
        <b/>
        <vertAlign val="superscript"/>
        <sz val="8"/>
        <rFont val="Arial"/>
        <family val="2"/>
      </rPr>
      <t>2</t>
    </r>
  </si>
  <si>
    <r>
      <t xml:space="preserve">PREÇOS </t>
    </r>
    <r>
      <rPr>
        <b/>
        <vertAlign val="superscript"/>
        <sz val="8"/>
        <rFont val="Arial"/>
        <family val="2"/>
      </rPr>
      <t>3</t>
    </r>
  </si>
  <si>
    <t>UNT</t>
  </si>
  <si>
    <t>1    VEÍCULOS</t>
  </si>
  <si>
    <t>1.1 Aluguel de veículos 4x4 - Tipo Caminhonete (Cabine Dupla) (FGV IBRE)</t>
  </si>
  <si>
    <t>mês</t>
  </si>
  <si>
    <t>1.2 Aluguel de veículo leve (FGV IBRE)</t>
  </si>
  <si>
    <t>1.2 Barco</t>
  </si>
  <si>
    <t>Total dos custos e dos preços dos veículos</t>
  </si>
  <si>
    <t>2     MANUTENÇÃO E ADMINISTRAÇÃO DO ESCRITÓRIO DE APOIO (BRASÍLIA/DF)</t>
  </si>
  <si>
    <t>2.1 Aluguel de escritório com mobiliário (Consultoria SICRO-Esc.1750,92+Mob.753,04)</t>
  </si>
  <si>
    <t>2.2 Telefone (10557/ORSE)</t>
  </si>
  <si>
    <t>2.3 Energia elétrica</t>
  </si>
  <si>
    <t>2.4 Água  e esgoto/ m³ (AGETOP-Agua/2755-Esgoto/2759)</t>
  </si>
  <si>
    <t>2.5 Material de limpeza (10563/ORSE)</t>
  </si>
  <si>
    <t xml:space="preserve">2.6 Internet </t>
  </si>
  <si>
    <t>2.7 Material de escritório (10562/ORSE)</t>
  </si>
  <si>
    <t>Total dos custos e dos preços da manut. e adm. do escrit.  de apoio em Brasília/DF</t>
  </si>
  <si>
    <t xml:space="preserve">3     EQUIPAMENTOS </t>
  </si>
  <si>
    <t>3.1Notebook (P0, P1, P2 e T1) - (Core i7, 8Gb RAM, 1Tb)</t>
  </si>
  <si>
    <t>3.2 GPS (Resolução Nativa de 176 x 220)</t>
  </si>
  <si>
    <t>3.3 Serviços de aerolevantamento (incluso profissionais, logística de equipamentos e veículos), através de DRONE, com GSD de 10cm, geração de ortofoto e modelo digital de terreno (MDT) com resolução mínima de 50cm.</t>
  </si>
  <si>
    <t>hectare</t>
  </si>
  <si>
    <t>3.4 Máquina Fotográfica 24MP, Full HD, 28Gb</t>
  </si>
  <si>
    <t>Total dos custos e dos preços dos equip. e materiais de apoio</t>
  </si>
  <si>
    <t>4     SERVIÇOS GRÁFICOS</t>
  </si>
  <si>
    <t>4.1 Relatórios do Contrato (média 50 folhas)</t>
  </si>
  <si>
    <t>unid.</t>
  </si>
  <si>
    <t>4.2 Impressão de Material de Divulgação (Folders - formato: a) aberto 15,0 x 59,5cm; 
b) fechado 15,0 x 15,0cm - em papel Couche Liso)</t>
  </si>
  <si>
    <t>4.3 Confecção de Faixas/Banners (80cm x 120 cm)</t>
  </si>
  <si>
    <t>4.4 Impressão de Cartilhas/Apostilas - média de 30 páginas</t>
  </si>
  <si>
    <t>Total dos custos e dos preços dos serv. Gráficos</t>
  </si>
  <si>
    <t>5. MONITORAMENTO DE QUALIDADE DE ÁGUA</t>
  </si>
  <si>
    <t>5.1 Análises químicas laboratoriais em amostra de efluente, conforme CONAMA 357 de 2005 (Água Doce - Classe II)</t>
  </si>
  <si>
    <t>unid</t>
  </si>
  <si>
    <t>Total dos custos do monitoramento de água</t>
  </si>
  <si>
    <t>1. Aluguel de veículos inclui combustível e manutenção até o limite de 3000km/mês / Aluguel de barco inclui combustível e manutenção e piloto habilitado</t>
  </si>
  <si>
    <t>2. Custo do item sem lucro e despesas fiscais</t>
  </si>
  <si>
    <t>4. Exportar " total custo" para a  linha corresponde no FSUP. Os preços serão aplicados para fins de faturamento</t>
  </si>
  <si>
    <t>5. Equipamentos e materiais de campo pessoais ou complementares para garantir a qualidade dos serviços de campo estão previstos na hora do profissional.</t>
  </si>
  <si>
    <t xml:space="preserve">6. O Drone possui especificação mínima: Modelo DJI Mavic 2 PRO com 4 baterias extras, tem por finalidade, sempre que definido em OS, fazer registros da área do PHJ. As imagens devem estar georreferenciadas, os produtos a serem entregues são MDT e Ortomosaico, no mínimo. </t>
  </si>
  <si>
    <t>7. As análises de água serão medidas por unidade quando realizados todos o parâmetros previstos na CONAMA 357 de 2005 (Água Doce - Classe II), em caso de
realização de parâmetros parciais será medido o valor proporcional à quantidade total de parâmetros.</t>
  </si>
  <si>
    <t>MOBILIZAÇÃO E DESMOBILIZAÇÃO</t>
  </si>
  <si>
    <t>FSUP-IV</t>
  </si>
  <si>
    <t>SÍMB.</t>
  </si>
  <si>
    <t>UNID</t>
  </si>
  <si>
    <t>QTD.</t>
  </si>
  <si>
    <t>MOBILIZAÇÃO</t>
  </si>
  <si>
    <t>DESMOBILIZAÇÃO</t>
  </si>
  <si>
    <t>1.      DESLOCAMENTO DA EQUIPE</t>
  </si>
  <si>
    <t>1.1    Passagens aéreas</t>
  </si>
  <si>
    <t xml:space="preserve">         a) Coordenador</t>
  </si>
  <si>
    <t>P0</t>
  </si>
  <si>
    <t>1.2    Diárias</t>
  </si>
  <si>
    <t xml:space="preserve">         a)  Coordenador</t>
  </si>
  <si>
    <t>TOTAIS DE CUSTOS E DE PREÇOS DE MOBILIZAÇÃO/DESMOBILIZAÇÃO</t>
  </si>
  <si>
    <t>OBS: 1 - Custo do item sem lucro e sem despesas fiscais. Os totais detes deverão ser exportados para o item correspondente no FSUP</t>
  </si>
  <si>
    <t xml:space="preserve">         2 -  Preço = custo + lucro + despesas fiscais e será calculado com a seguinte fórmula: custo*(1+0,1)*(1+0,1396). O preço será utilizado para fins de faturamento</t>
  </si>
  <si>
    <t>DETALHAMENTO DOS CUSTOS DE ADMINISTRAÇÃO</t>
  </si>
  <si>
    <t>FSUP-V</t>
  </si>
  <si>
    <t>SEQ.</t>
  </si>
  <si>
    <t>VALORES</t>
  </si>
  <si>
    <t>%</t>
  </si>
  <si>
    <t>R$</t>
  </si>
  <si>
    <t>Custos da equipe da administração central da empresa consultora(diretoria, pessoal técnico de apoio e pessoal administrativo não diretamente vinculado à prestação dos serviços)</t>
  </si>
  <si>
    <t>Outras despesas que afetam o custo de produção como treinamento, biblioteca, programa de qualidade, auditoria interna e externa</t>
  </si>
  <si>
    <t>Despesas com aluguéis, comunicação, manutenção e transporte não diretamente relacionados com o custo direto dos serviços</t>
  </si>
  <si>
    <t>TOTAIS DO CUSTO DE ADMINISTRAÇÃO</t>
  </si>
  <si>
    <t xml:space="preserve">NOME DO INFORMANTE: </t>
  </si>
  <si>
    <t xml:space="preserve">QUALIFICAÇÃO: 
                                   </t>
  </si>
  <si>
    <t>OBSERVAÇAO:</t>
  </si>
  <si>
    <t xml:space="preserve">1 - RELACIONAR OS CUSTOS DE ADMINISTRAÇÃO COM RESPECTIVOS PERCENTUAIS INCIDENTES NA MÃO -DE-OBRA DOS </t>
  </si>
  <si>
    <t xml:space="preserve">     SERVIÇOS</t>
  </si>
  <si>
    <t xml:space="preserve"> DETALHAMENTO DAS DESPESAS FISCAIS</t>
  </si>
  <si>
    <t>FSUP-VI</t>
  </si>
  <si>
    <r>
      <t xml:space="preserve">DISCRIMINAÇÃO </t>
    </r>
    <r>
      <rPr>
        <b/>
        <vertAlign val="superscript"/>
        <sz val="9"/>
        <rFont val="Arial"/>
        <family val="2"/>
      </rPr>
      <t>1</t>
    </r>
  </si>
  <si>
    <r>
      <t xml:space="preserve"> DF (%) </t>
    </r>
    <r>
      <rPr>
        <b/>
        <vertAlign val="superscript"/>
        <sz val="9"/>
        <rFont val="Arial"/>
        <family val="2"/>
      </rPr>
      <t>2</t>
    </r>
  </si>
  <si>
    <r>
      <t xml:space="preserve">DF' (%) </t>
    </r>
    <r>
      <rPr>
        <b/>
        <vertAlign val="superscript"/>
        <sz val="9"/>
        <rFont val="Arial"/>
        <family val="2"/>
      </rPr>
      <t>3</t>
    </r>
  </si>
  <si>
    <t xml:space="preserve">1 - ISS </t>
  </si>
  <si>
    <t>2 - PIS</t>
  </si>
  <si>
    <t>3 - COFINS</t>
  </si>
  <si>
    <t xml:space="preserve">TOTAIS DE DESPESAS FISCAIS </t>
  </si>
  <si>
    <t>Observação:</t>
  </si>
  <si>
    <t>1 - DISCRIMINAR OS TRIBUTOS QUE INCIDEM SOBRE OS CUSTOS DA PRESTAÇÃO DOS SERVIÇOS</t>
  </si>
  <si>
    <t xml:space="preserve">OBS.: Tendo em vista que o contrato será desenvolvido em localidades diversas, foi adotada a alíquota de 5% de ISS, </t>
  </si>
  <si>
    <t>usual em muitos municípios.</t>
  </si>
  <si>
    <t xml:space="preserve">3 - AS DESPESAS FISCAIS (DF) INCIDEM SOBRE O TOTAL DA FATURA E NÃO SOBRE OS CUSTOS INCORRIDOS, </t>
  </si>
  <si>
    <r>
      <t xml:space="preserve">     DEVENDO SER CALCULADO O </t>
    </r>
    <r>
      <rPr>
        <b/>
        <sz val="7"/>
        <rFont val="Arial"/>
        <family val="2"/>
      </rPr>
      <t>DF'</t>
    </r>
    <r>
      <rPr>
        <sz val="7"/>
        <rFont val="Arial"/>
        <family val="2"/>
      </rPr>
      <t xml:space="preserve"> APLICANDO-SE A SEGUINTE FÓRMULA:</t>
    </r>
  </si>
  <si>
    <r>
      <t>DF'</t>
    </r>
    <r>
      <rPr>
        <sz val="7"/>
        <rFont val="Arial"/>
        <family val="2"/>
      </rPr>
      <t xml:space="preserve"> = { [ 1 / ( 1 - DF) ] - 1 } x 100</t>
    </r>
  </si>
  <si>
    <t xml:space="preserve"> O TOTAL CALCULADO NA LINHA "H" DO PFSUP  SERÁ IMPORTADO PARA COMPOR ESTE DETALHAMENTO.</t>
  </si>
  <si>
    <t>DETALHAMENTO DOS ENCARGOS SOCIAIS</t>
  </si>
  <si>
    <t>FSUP-VII</t>
  </si>
  <si>
    <t>ENCARGOS SOCIAIS BÁSICOS</t>
  </si>
  <si>
    <t>A1</t>
  </si>
  <si>
    <t>Seconci</t>
  </si>
  <si>
    <t>A2</t>
  </si>
  <si>
    <t>INSS</t>
  </si>
  <si>
    <t>A3</t>
  </si>
  <si>
    <t>FGTS</t>
  </si>
  <si>
    <t>A4</t>
  </si>
  <si>
    <t>Incra</t>
  </si>
  <si>
    <t>A5</t>
  </si>
  <si>
    <t xml:space="preserve">Salário Educação </t>
  </si>
  <si>
    <t>A6</t>
  </si>
  <si>
    <t>Sebrae</t>
  </si>
  <si>
    <t>A7</t>
  </si>
  <si>
    <t>Seguro contra acidente</t>
  </si>
  <si>
    <t>A8</t>
  </si>
  <si>
    <t>Senai</t>
  </si>
  <si>
    <t>A9</t>
  </si>
  <si>
    <t>Sesi</t>
  </si>
  <si>
    <t>SUBTOTAL DE "A"</t>
  </si>
  <si>
    <t>B</t>
  </si>
  <si>
    <t xml:space="preserve"> ENCARGOS SOCIAIS QUE RECEBEM INCIDÊNCIA DE "A"</t>
  </si>
  <si>
    <t>Repouso Semanal Remunerado</t>
  </si>
  <si>
    <t>Feriados</t>
  </si>
  <si>
    <t>B3</t>
  </si>
  <si>
    <t>Auxílio - Enfermidade</t>
  </si>
  <si>
    <t>B4</t>
  </si>
  <si>
    <t xml:space="preserve">13º Salário  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</si>
  <si>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</si>
  <si>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</si>
  <si>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</si>
  <si>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</si>
  <si>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</si>
  <si>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</si>
  <si>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</si>
  <si>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</si>
  <si>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</si>
  <si>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</si>
  <si>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</si>
  <si>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</si>
  <si>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</si>
  <si>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 xml:space="preserve"> ENCARGOS SOCIAIS QUE NÃO RECEBEM INCIDÊNCIA DE "A"</t>
  </si>
  <si>
    <t>C1</t>
  </si>
  <si>
    <t>Depósito por despedida sem justa causa</t>
  </si>
  <si>
    <t>C2</t>
  </si>
  <si>
    <t>Férias</t>
  </si>
  <si>
    <t>C3</t>
  </si>
  <si>
    <t>Indenização Adicional</t>
  </si>
  <si>
    <t>C4</t>
  </si>
  <si>
    <t>Aviso prévio Trabalhado</t>
  </si>
  <si>
    <t>C5</t>
  </si>
  <si>
    <t>Aviso prévio Indenizado</t>
  </si>
  <si>
    <t>SUBTOTAL DE "C"</t>
  </si>
  <si>
    <t>D</t>
  </si>
  <si>
    <t xml:space="preserve"> REINCIDÊNCIAS</t>
  </si>
  <si>
    <t>D1</t>
  </si>
  <si>
    <t>Reincidência de "A" sobre "B"</t>
  </si>
  <si>
    <t>D2</t>
  </si>
  <si>
    <t>Reincidência de "A" sobre aviso prévio</t>
  </si>
  <si>
    <t>SUBTOTAL DE "D"</t>
  </si>
  <si>
    <t>TOTAIS DE ENCARGOS SOCIAIS</t>
  </si>
  <si>
    <t xml:space="preserve">1 - DISCRIMINAR OS ENCARGOS SOCIAIS COM SEUS RESPECTIVOS PERCENTUAS TOTALIZANDO OS MESMOS. </t>
  </si>
  <si>
    <t>2 - O % TOTAL SERÁ APLICADO PARA CÁLCULAR OS E. SOCIAIS INCIDENTES NA MÃO-DE-OBRA COM VÍNCULO, LINHA "B1" DO FSUP</t>
  </si>
  <si>
    <t>3 - Encargos sociais - SINAPI DF</t>
  </si>
  <si>
    <t xml:space="preserve">DIRETOR PRESIDENTE 
                                   </t>
  </si>
  <si>
    <t>KL SERVIÇOS ENGENHARIA S.A</t>
  </si>
  <si>
    <t>DATA: 
21/12/2023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</si>
</sst>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R$&quot;\ #,##0.00;[Red]\-&quot;R$&quot;\ #,##0.00"/>
    <numFmt numFmtId="43" formatCode="_-* #,##0.00_-;\-* #,##0.00_-;_-* &quot;-&quot;??_-;_-@_-"/>
    <numFmt numFmtId="164" formatCode="General_)"/>
    <numFmt numFmtId="165" formatCode="0_)"/>
    <numFmt numFmtId="166" formatCode="&quot;R$&quot;\ #,##0.00"/>
    <numFmt numFmtId="167" formatCode="#,##0.0000_ ;[Red]\-#,##0.0000\ "/>
    <numFmt numFmtId="168" formatCode="0.0"/>
    <numFmt numFmtId="169" formatCode="#,##0.0000"/>
  </numFmts>
  <fonts count="27" x14ac:knownFonts="1"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sz val="15"/>
      <color indexed="62"/>
      <name val="Calibri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6"/>
      <name val="MS Sans Serif"/>
      <family val="2"/>
    </font>
    <font>
      <sz val="7"/>
      <color indexed="8"/>
      <name val="Arial"/>
      <family val="2"/>
    </font>
    <font>
      <sz val="7"/>
      <name val="MS Sans Serif"/>
      <family val="2"/>
    </font>
    <font>
      <sz val="7"/>
      <color indexed="8"/>
      <name val="Times New Roman"/>
      <family val="1"/>
    </font>
    <font>
      <sz val="8"/>
      <name val="Times New Roman"/>
      <family val="1"/>
    </font>
    <font>
      <b/>
      <vertAlign val="superscript"/>
      <sz val="8"/>
      <name val="Arial"/>
      <family val="2"/>
    </font>
    <font>
      <sz val="8"/>
      <color indexed="8"/>
      <name val="Arial"/>
      <family val="2"/>
    </font>
    <font>
      <sz val="8"/>
      <name val="MS Sans Serif"/>
      <family val="2"/>
    </font>
    <font>
      <b/>
      <vertAlign val="superscript"/>
      <sz val="9"/>
      <name val="Arial"/>
      <family val="2"/>
    </font>
    <font>
      <sz val="9"/>
      <name val="Arial"/>
      <family val="2"/>
    </font>
    <font>
      <sz val="10"/>
      <name val="MS Sans Serif"/>
      <family val="2"/>
    </font>
    <font>
      <sz val="7"/>
      <color indexed="10"/>
      <name val="Arial"/>
      <family val="2"/>
    </font>
    <font>
      <b/>
      <sz val="7"/>
      <color indexed="10"/>
      <name val="Arial"/>
      <family val="2"/>
    </font>
    <font>
      <sz val="8"/>
      <color indexed="10"/>
      <name val="Arial"/>
      <family val="2"/>
    </font>
    <font>
      <sz val="8"/>
      <color theme="0" tint="-0.34998626667073579"/>
      <name val="Arial"/>
      <family val="2"/>
    </font>
    <font>
      <b/>
      <sz val="11"/>
      <color theme="1"/>
      <name val="Calibri"/>
      <family val="2"/>
      <scheme val="minor"/>
    </font>
    <font>
      <sz val="7"/>
      <color rgb="FF00B05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75">
    <border>
      <left/>
      <right/>
      <top/>
      <bottom/>
      <diagonal/>
    </border>
    <border>
      <left/>
      <right/>
      <top/>
      <bottom style="medium">
        <color indexed="4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/>
      <diagonal/>
    </border>
    <border>
      <left/>
      <right style="thin">
        <color indexed="64"/>
      </right>
      <top style="double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double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double">
        <color indexed="8"/>
      </bottom>
      <diagonal/>
    </border>
  </borders>
  <cellStyleXfs count="9">
    <xf numFmtId="0" fontId="0" fillId="0" borderId="0"/>
    <xf numFmtId="164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1" applyNumberFormat="0" applyFill="0" applyAlignment="0" applyProtection="0"/>
    <xf numFmtId="40" fontId="20" fillId="0" borderId="0" applyFill="0" applyBorder="0" applyAlignment="0" applyProtection="0"/>
    <xf numFmtId="0" fontId="2" fillId="0" borderId="0"/>
  </cellStyleXfs>
  <cellXfs count="512">
    <xf numFmtId="0" fontId="0" fillId="0" borderId="0" xfId="0"/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2" borderId="5" xfId="0" applyFont="1" applyFill="1" applyBorder="1" applyAlignment="1">
      <alignment horizontal="left" vertical="top"/>
    </xf>
    <xf numFmtId="0" fontId="7" fillId="0" borderId="5" xfId="5" applyFont="1" applyBorder="1" applyAlignment="1">
      <alignment horizontal="left" vertical="top"/>
    </xf>
    <xf numFmtId="0" fontId="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horizontal="left"/>
    </xf>
    <xf numFmtId="0" fontId="7" fillId="0" borderId="9" xfId="5" applyFont="1" applyBorder="1" applyAlignment="1">
      <alignment horizontal="left" vertical="top"/>
    </xf>
    <xf numFmtId="39" fontId="11" fillId="0" borderId="10" xfId="1" applyNumberFormat="1" applyFont="1" applyBorder="1" applyAlignment="1" applyProtection="1">
      <alignment horizontal="center" vertical="center"/>
      <protection locked="0"/>
    </xf>
    <xf numFmtId="40" fontId="11" fillId="0" borderId="10" xfId="7" applyFont="1" applyFill="1" applyBorder="1" applyAlignment="1" applyProtection="1">
      <alignment horizontal="center" vertical="center"/>
      <protection locked="0"/>
    </xf>
    <xf numFmtId="40" fontId="11" fillId="0" borderId="6" xfId="7" applyFont="1" applyFill="1" applyBorder="1" applyAlignment="1" applyProtection="1">
      <alignment horizontal="center" vertical="center"/>
      <protection locked="0"/>
    </xf>
    <xf numFmtId="49" fontId="11" fillId="0" borderId="2" xfId="7" applyNumberFormat="1" applyFont="1" applyFill="1" applyBorder="1" applyAlignment="1" applyProtection="1">
      <alignment horizontal="center" vertical="center"/>
      <protection locked="0"/>
    </xf>
    <xf numFmtId="49" fontId="11" fillId="0" borderId="12" xfId="7" applyNumberFormat="1" applyFont="1" applyFill="1" applyBorder="1" applyAlignment="1" applyProtection="1">
      <alignment horizontal="center" vertical="center"/>
      <protection locked="0"/>
    </xf>
    <xf numFmtId="0" fontId="7" fillId="0" borderId="4" xfId="5" applyFont="1" applyBorder="1" applyAlignment="1">
      <alignment horizontal="left" vertical="top"/>
    </xf>
    <xf numFmtId="0" fontId="6" fillId="2" borderId="9" xfId="2" applyFont="1" applyFill="1" applyBorder="1" applyAlignment="1">
      <alignment horizontal="center" vertical="center"/>
    </xf>
    <xf numFmtId="0" fontId="7" fillId="0" borderId="2" xfId="5" applyFont="1" applyBorder="1" applyAlignment="1">
      <alignment horizontal="left" vertical="top"/>
    </xf>
    <xf numFmtId="0" fontId="7" fillId="0" borderId="3" xfId="5" applyFont="1" applyBorder="1" applyAlignment="1">
      <alignment horizontal="left" vertical="top"/>
    </xf>
    <xf numFmtId="0" fontId="7" fillId="0" borderId="8" xfId="2" applyFont="1" applyBorder="1" applyAlignment="1">
      <alignment horizontal="left" vertical="center"/>
    </xf>
    <xf numFmtId="4" fontId="1" fillId="0" borderId="13" xfId="5" applyNumberFormat="1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/>
    </xf>
    <xf numFmtId="4" fontId="1" fillId="0" borderId="13" xfId="0" applyNumberFormat="1" applyFont="1" applyBorder="1" applyAlignment="1">
      <alignment horizontal="right" vertical="center"/>
    </xf>
    <xf numFmtId="0" fontId="7" fillId="0" borderId="8" xfId="5" applyFont="1" applyBorder="1" applyAlignment="1">
      <alignment horizontal="left" vertical="top"/>
    </xf>
    <xf numFmtId="0" fontId="1" fillId="0" borderId="0" xfId="5" applyFont="1" applyAlignment="1">
      <alignment vertical="center"/>
    </xf>
    <xf numFmtId="0" fontId="7" fillId="0" borderId="14" xfId="5" applyFont="1" applyBorder="1" applyAlignment="1">
      <alignment horizontal="left" vertical="top"/>
    </xf>
    <xf numFmtId="40" fontId="1" fillId="0" borderId="0" xfId="7" applyFont="1" applyFill="1" applyBorder="1" applyAlignment="1" applyProtection="1">
      <alignment vertical="center"/>
    </xf>
    <xf numFmtId="0" fontId="1" fillId="0" borderId="6" xfId="5" applyFont="1" applyBorder="1" applyAlignment="1">
      <alignment vertical="center"/>
    </xf>
    <xf numFmtId="0" fontId="7" fillId="0" borderId="16" xfId="5" applyFont="1" applyBorder="1" applyAlignment="1">
      <alignment horizontal="left" vertical="top"/>
    </xf>
    <xf numFmtId="40" fontId="7" fillId="0" borderId="5" xfId="7" applyFont="1" applyFill="1" applyBorder="1" applyAlignment="1" applyProtection="1">
      <alignment vertical="top"/>
    </xf>
    <xf numFmtId="0" fontId="8" fillId="0" borderId="13" xfId="0" applyFont="1" applyBorder="1" applyAlignment="1">
      <alignment horizontal="center"/>
    </xf>
    <xf numFmtId="40" fontId="8" fillId="0" borderId="13" xfId="7" applyFont="1" applyFill="1" applyBorder="1" applyAlignment="1" applyProtection="1">
      <alignment horizontal="center"/>
    </xf>
    <xf numFmtId="0" fontId="1" fillId="0" borderId="13" xfId="5" applyFont="1" applyBorder="1" applyAlignment="1">
      <alignment horizontal="center" vertical="center"/>
    </xf>
    <xf numFmtId="40" fontId="1" fillId="0" borderId="13" xfId="7" applyFont="1" applyFill="1" applyBorder="1" applyAlignment="1" applyProtection="1">
      <alignment horizontal="center"/>
    </xf>
    <xf numFmtId="0" fontId="1" fillId="0" borderId="13" xfId="0" applyFont="1" applyBorder="1" applyAlignment="1">
      <alignment horizontal="center" vertical="center" wrapText="1"/>
    </xf>
    <xf numFmtId="49" fontId="1" fillId="0" borderId="13" xfId="5" applyNumberFormat="1" applyFont="1" applyBorder="1" applyAlignment="1">
      <alignment horizontal="center" vertical="center"/>
    </xf>
    <xf numFmtId="4" fontId="1" fillId="0" borderId="13" xfId="0" applyNumberFormat="1" applyFont="1" applyBorder="1" applyAlignment="1">
      <alignment horizontal="center"/>
    </xf>
    <xf numFmtId="40" fontId="8" fillId="0" borderId="5" xfId="7" applyFont="1" applyFill="1" applyBorder="1" applyAlignment="1" applyProtection="1">
      <alignment horizontal="right" vertical="center"/>
    </xf>
    <xf numFmtId="0" fontId="2" fillId="0" borderId="7" xfId="5" applyBorder="1" applyAlignment="1">
      <alignment horizontal="right" vertical="center"/>
    </xf>
    <xf numFmtId="0" fontId="2" fillId="0" borderId="14" xfId="5" applyBorder="1" applyAlignment="1">
      <alignment horizontal="right" vertical="center"/>
    </xf>
    <xf numFmtId="40" fontId="2" fillId="0" borderId="8" xfId="7" applyFont="1" applyFill="1" applyBorder="1" applyAlignment="1" applyProtection="1">
      <alignment vertical="center"/>
    </xf>
    <xf numFmtId="0" fontId="7" fillId="0" borderId="6" xfId="5" applyFont="1" applyBorder="1" applyAlignment="1">
      <alignment horizontal="left" vertical="top"/>
    </xf>
    <xf numFmtId="0" fontId="7" fillId="0" borderId="0" xfId="5" applyFont="1" applyAlignment="1">
      <alignment horizontal="left" vertical="top"/>
    </xf>
    <xf numFmtId="0" fontId="7" fillId="0" borderId="10" xfId="5" applyFont="1" applyBorder="1" applyAlignment="1">
      <alignment horizontal="left" vertical="top"/>
    </xf>
    <xf numFmtId="40" fontId="7" fillId="0" borderId="4" xfId="7" applyFont="1" applyFill="1" applyBorder="1" applyAlignment="1" applyProtection="1">
      <alignment vertical="top"/>
    </xf>
    <xf numFmtId="40" fontId="2" fillId="0" borderId="13" xfId="7" applyFont="1" applyFill="1" applyBorder="1" applyAlignment="1" applyProtection="1">
      <alignment horizontal="center" vertical="top"/>
    </xf>
    <xf numFmtId="4" fontId="1" fillId="0" borderId="13" xfId="5" applyNumberFormat="1" applyFont="1" applyBorder="1" applyAlignment="1">
      <alignment horizontal="right" vertical="top"/>
    </xf>
    <xf numFmtId="4" fontId="1" fillId="0" borderId="13" xfId="5" applyNumberFormat="1" applyFont="1" applyBorder="1" applyAlignment="1">
      <alignment vertical="center"/>
    </xf>
    <xf numFmtId="0" fontId="1" fillId="0" borderId="2" xfId="5" applyFont="1" applyBorder="1" applyAlignment="1">
      <alignment vertical="center"/>
    </xf>
    <xf numFmtId="0" fontId="1" fillId="0" borderId="3" xfId="5" applyFont="1" applyBorder="1" applyAlignment="1">
      <alignment vertical="center"/>
    </xf>
    <xf numFmtId="0" fontId="1" fillId="0" borderId="4" xfId="5" applyFont="1" applyBorder="1" applyAlignment="1">
      <alignment vertical="center"/>
    </xf>
    <xf numFmtId="0" fontId="1" fillId="0" borderId="9" xfId="5" applyFont="1" applyBorder="1" applyAlignment="1">
      <alignment vertical="center"/>
    </xf>
    <xf numFmtId="0" fontId="1" fillId="0" borderId="10" xfId="5" applyFont="1" applyBorder="1" applyAlignment="1">
      <alignment vertical="center"/>
    </xf>
    <xf numFmtId="4" fontId="7" fillId="0" borderId="4" xfId="5" applyNumberFormat="1" applyFont="1" applyBorder="1" applyAlignment="1">
      <alignment horizontal="right"/>
    </xf>
    <xf numFmtId="4" fontId="11" fillId="0" borderId="13" xfId="1" applyNumberFormat="1" applyFont="1" applyBorder="1" applyAlignment="1" applyProtection="1">
      <alignment horizontal="right"/>
      <protection locked="0"/>
    </xf>
    <xf numFmtId="4" fontId="7" fillId="0" borderId="13" xfId="1" applyNumberFormat="1" applyFont="1" applyBorder="1" applyAlignment="1" applyProtection="1">
      <alignment horizontal="right"/>
      <protection locked="0"/>
    </xf>
    <xf numFmtId="166" fontId="1" fillId="0" borderId="0" xfId="5" applyNumberFormat="1" applyFont="1" applyAlignment="1">
      <alignment vertical="center"/>
    </xf>
    <xf numFmtId="167" fontId="1" fillId="0" borderId="0" xfId="5" applyNumberFormat="1" applyFont="1" applyAlignment="1">
      <alignment vertical="center"/>
    </xf>
    <xf numFmtId="8" fontId="1" fillId="0" borderId="0" xfId="5" applyNumberFormat="1" applyFont="1" applyAlignment="1">
      <alignment vertical="center"/>
    </xf>
    <xf numFmtId="0" fontId="7" fillId="0" borderId="6" xfId="5" applyFont="1" applyBorder="1" applyAlignment="1">
      <alignment horizontal="left" vertical="center"/>
    </xf>
    <xf numFmtId="0" fontId="7" fillId="0" borderId="0" xfId="5" applyFont="1" applyAlignment="1">
      <alignment horizontal="left" vertical="center"/>
    </xf>
    <xf numFmtId="0" fontId="9" fillId="0" borderId="0" xfId="5" applyFont="1" applyAlignment="1">
      <alignment horizontal="left" vertical="center"/>
    </xf>
    <xf numFmtId="0" fontId="9" fillId="0" borderId="0" xfId="5" applyFont="1" applyAlignment="1">
      <alignment horizontal="left" vertical="top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1" fontId="7" fillId="0" borderId="0" xfId="5" applyNumberFormat="1" applyFont="1" applyAlignment="1">
      <alignment horizontal="center"/>
    </xf>
    <xf numFmtId="0" fontId="7" fillId="0" borderId="43" xfId="5" applyFont="1" applyBorder="1" applyAlignment="1">
      <alignment horizontal="left" vertical="center"/>
    </xf>
    <xf numFmtId="0" fontId="7" fillId="0" borderId="42" xfId="5" applyFont="1" applyBorder="1" applyAlignment="1">
      <alignment horizontal="left" vertical="center"/>
    </xf>
    <xf numFmtId="0" fontId="7" fillId="0" borderId="43" xfId="5" applyFont="1" applyBorder="1" applyAlignment="1">
      <alignment horizontal="left" vertical="top"/>
    </xf>
    <xf numFmtId="0" fontId="7" fillId="0" borderId="42" xfId="5" applyFont="1" applyBorder="1" applyAlignment="1">
      <alignment horizontal="left" vertical="top"/>
    </xf>
    <xf numFmtId="0" fontId="9" fillId="0" borderId="43" xfId="5" applyFont="1" applyBorder="1" applyAlignment="1">
      <alignment horizontal="left" vertical="center"/>
    </xf>
    <xf numFmtId="0" fontId="9" fillId="0" borderId="42" xfId="5" applyFont="1" applyBorder="1" applyAlignment="1">
      <alignment horizontal="left" vertical="center"/>
    </xf>
    <xf numFmtId="0" fontId="9" fillId="0" borderId="42" xfId="5" applyFont="1" applyBorder="1" applyAlignment="1">
      <alignment horizontal="left" vertical="top"/>
    </xf>
    <xf numFmtId="0" fontId="9" fillId="0" borderId="43" xfId="5" applyFont="1" applyBorder="1" applyAlignment="1">
      <alignment horizontal="left" vertical="top"/>
    </xf>
    <xf numFmtId="0" fontId="7" fillId="0" borderId="42" xfId="5" applyFont="1" applyBorder="1" applyAlignment="1">
      <alignment vertical="center"/>
    </xf>
    <xf numFmtId="0" fontId="7" fillId="0" borderId="29" xfId="5" applyFont="1" applyBorder="1" applyAlignment="1">
      <alignment vertical="center"/>
    </xf>
    <xf numFmtId="0" fontId="7" fillId="0" borderId="30" xfId="5" applyFont="1" applyBorder="1" applyAlignment="1">
      <alignment vertical="center"/>
    </xf>
    <xf numFmtId="0" fontId="7" fillId="0" borderId="31" xfId="5" applyFont="1" applyBorder="1" applyAlignment="1">
      <alignment vertical="center"/>
    </xf>
    <xf numFmtId="4" fontId="1" fillId="0" borderId="13" xfId="4" applyNumberFormat="1" applyFont="1" applyBorder="1" applyAlignment="1">
      <alignment horizontal="right" vertical="center"/>
    </xf>
    <xf numFmtId="0" fontId="1" fillId="0" borderId="12" xfId="4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/>
    </xf>
    <xf numFmtId="0" fontId="20" fillId="0" borderId="0" xfId="0" applyFont="1"/>
    <xf numFmtId="4" fontId="10" fillId="0" borderId="5" xfId="5" applyNumberFormat="1" applyFont="1" applyBorder="1" applyAlignment="1">
      <alignment horizontal="center" vertical="center"/>
    </xf>
    <xf numFmtId="168" fontId="0" fillId="0" borderId="5" xfId="0" applyNumberFormat="1" applyBorder="1" applyAlignment="1">
      <alignment vertical="center"/>
    </xf>
    <xf numFmtId="4" fontId="7" fillId="0" borderId="11" xfId="5" applyNumberFormat="1" applyFont="1" applyBorder="1" applyAlignment="1">
      <alignment horizontal="center" vertical="center"/>
    </xf>
    <xf numFmtId="4" fontId="12" fillId="0" borderId="11" xfId="5" applyNumberFormat="1" applyFont="1" applyBorder="1" applyAlignment="1">
      <alignment horizontal="center" vertical="center"/>
    </xf>
    <xf numFmtId="168" fontId="7" fillId="0" borderId="11" xfId="5" applyNumberFormat="1" applyFont="1" applyBorder="1" applyAlignment="1">
      <alignment horizontal="center" vertical="center"/>
    </xf>
    <xf numFmtId="4" fontId="9" fillId="0" borderId="11" xfId="5" applyNumberFormat="1" applyFont="1" applyBorder="1" applyAlignment="1">
      <alignment horizontal="center" vertical="center"/>
    </xf>
    <xf numFmtId="168" fontId="11" fillId="0" borderId="2" xfId="7" applyNumberFormat="1" applyFont="1" applyFill="1" applyBorder="1" applyAlignment="1" applyProtection="1">
      <alignment horizontal="center" vertical="center"/>
      <protection locked="0"/>
    </xf>
    <xf numFmtId="168" fontId="13" fillId="0" borderId="13" xfId="1" applyNumberFormat="1" applyFont="1" applyBorder="1" applyAlignment="1">
      <alignment horizontal="center"/>
    </xf>
    <xf numFmtId="4" fontId="7" fillId="0" borderId="4" xfId="5" applyNumberFormat="1" applyFont="1" applyBorder="1" applyAlignment="1">
      <alignment horizontal="right" vertical="center"/>
    </xf>
    <xf numFmtId="0" fontId="25" fillId="0" borderId="0" xfId="0" applyFont="1" applyAlignment="1">
      <alignment horizontal="center"/>
    </xf>
    <xf numFmtId="0" fontId="0" fillId="0" borderId="0" xfId="0" applyAlignment="1">
      <alignment horizontal="center"/>
    </xf>
    <xf numFmtId="168" fontId="7" fillId="0" borderId="4" xfId="5" applyNumberFormat="1" applyFont="1" applyBorder="1" applyAlignment="1">
      <alignment horizontal="center"/>
    </xf>
    <xf numFmtId="0" fontId="7" fillId="0" borderId="53" xfId="0" applyFont="1" applyBorder="1" applyAlignment="1">
      <alignment horizontal="center" wrapText="1"/>
    </xf>
    <xf numFmtId="4" fontId="26" fillId="0" borderId="4" xfId="5" applyNumberFormat="1" applyFont="1" applyBorder="1" applyAlignment="1">
      <alignment horizontal="right"/>
    </xf>
    <xf numFmtId="168" fontId="0" fillId="0" borderId="0" xfId="0" applyNumberFormat="1"/>
    <xf numFmtId="1" fontId="7" fillId="0" borderId="4" xfId="5" applyNumberFormat="1" applyFont="1" applyBorder="1" applyAlignment="1">
      <alignment horizontal="center"/>
    </xf>
    <xf numFmtId="1" fontId="7" fillId="0" borderId="4" xfId="5" applyNumberFormat="1" applyFont="1" applyBorder="1" applyAlignment="1">
      <alignment horizontal="center" vertical="center"/>
    </xf>
    <xf numFmtId="168" fontId="7" fillId="0" borderId="4" xfId="5" applyNumberFormat="1" applyFont="1" applyBorder="1" applyAlignment="1">
      <alignment horizontal="center" vertical="center"/>
    </xf>
    <xf numFmtId="168" fontId="22" fillId="0" borderId="13" xfId="5" applyNumberFormat="1" applyFont="1" applyBorder="1" applyAlignment="1">
      <alignment vertical="center"/>
    </xf>
    <xf numFmtId="4" fontId="9" fillId="0" borderId="4" xfId="5" applyNumberFormat="1" applyFont="1" applyBorder="1" applyAlignment="1">
      <alignment horizontal="right" vertical="center"/>
    </xf>
    <xf numFmtId="0" fontId="1" fillId="0" borderId="14" xfId="0" applyFont="1" applyBorder="1" applyAlignment="1">
      <alignment horizontal="left"/>
    </xf>
    <xf numFmtId="0" fontId="8" fillId="0" borderId="15" xfId="5" applyFont="1" applyBorder="1" applyAlignment="1">
      <alignment horizontal="center" vertical="center" wrapText="1"/>
    </xf>
    <xf numFmtId="0" fontId="8" fillId="0" borderId="13" xfId="5" applyFont="1" applyBorder="1" applyAlignment="1">
      <alignment horizontal="center" vertical="center"/>
    </xf>
    <xf numFmtId="0" fontId="14" fillId="0" borderId="13" xfId="0" applyFont="1" applyBorder="1" applyAlignment="1">
      <alignment horizontal="center"/>
    </xf>
    <xf numFmtId="4" fontId="14" fillId="0" borderId="13" xfId="0" applyNumberFormat="1" applyFont="1" applyBorder="1" applyAlignment="1" applyProtection="1">
      <alignment horizontal="right"/>
      <protection locked="0"/>
    </xf>
    <xf numFmtId="0" fontId="14" fillId="0" borderId="5" xfId="0" applyFont="1" applyBorder="1" applyAlignment="1">
      <alignment horizontal="center"/>
    </xf>
    <xf numFmtId="4" fontId="14" fillId="0" borderId="5" xfId="0" applyNumberFormat="1" applyFont="1" applyBorder="1" applyProtection="1">
      <protection locked="0"/>
    </xf>
    <xf numFmtId="4" fontId="1" fillId="0" borderId="5" xfId="5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0" fontId="14" fillId="0" borderId="12" xfId="0" applyFont="1" applyBorder="1" applyAlignment="1">
      <alignment horizontal="center"/>
    </xf>
    <xf numFmtId="4" fontId="14" fillId="0" borderId="12" xfId="0" applyNumberFormat="1" applyFont="1" applyBorder="1" applyProtection="1">
      <protection locked="0"/>
    </xf>
    <xf numFmtId="4" fontId="1" fillId="0" borderId="12" xfId="5" applyNumberFormat="1" applyFont="1" applyBorder="1" applyAlignment="1">
      <alignment horizontal="right" vertical="center"/>
    </xf>
    <xf numFmtId="4" fontId="1" fillId="0" borderId="12" xfId="0" applyNumberFormat="1" applyFont="1" applyBorder="1" applyAlignment="1">
      <alignment horizontal="right" vertical="center"/>
    </xf>
    <xf numFmtId="4" fontId="14" fillId="0" borderId="13" xfId="0" applyNumberFormat="1" applyFont="1" applyBorder="1" applyProtection="1">
      <protection locked="0"/>
    </xf>
    <xf numFmtId="0" fontId="1" fillId="0" borderId="13" xfId="0" applyFont="1" applyBorder="1" applyAlignment="1">
      <alignment horizontal="left" vertical="center"/>
    </xf>
    <xf numFmtId="0" fontId="1" fillId="0" borderId="13" xfId="5" applyFont="1" applyBorder="1" applyAlignment="1">
      <alignment vertical="center"/>
    </xf>
    <xf numFmtId="0" fontId="1" fillId="0" borderId="13" xfId="5" applyFont="1" applyBorder="1" applyAlignment="1">
      <alignment horizontal="right" vertical="center"/>
    </xf>
    <xf numFmtId="4" fontId="8" fillId="0" borderId="13" xfId="5" applyNumberFormat="1" applyFont="1" applyBorder="1" applyAlignment="1">
      <alignment horizontal="right" vertical="center"/>
    </xf>
    <xf numFmtId="4" fontId="8" fillId="0" borderId="5" xfId="5" applyNumberFormat="1" applyFont="1" applyBorder="1" applyAlignment="1">
      <alignment horizontal="right" vertical="center"/>
    </xf>
    <xf numFmtId="0" fontId="1" fillId="0" borderId="42" xfId="3" applyFont="1" applyBorder="1" applyAlignment="1">
      <alignment horizontal="left" vertical="top"/>
    </xf>
    <xf numFmtId="0" fontId="1" fillId="0" borderId="0" xfId="3" applyFont="1" applyAlignment="1">
      <alignment horizontal="left" vertical="top"/>
    </xf>
    <xf numFmtId="0" fontId="1" fillId="0" borderId="0" xfId="4" applyFont="1" applyAlignment="1">
      <alignment horizontal="left" vertical="top"/>
    </xf>
    <xf numFmtId="0" fontId="1" fillId="0" borderId="43" xfId="4" applyFont="1" applyBorder="1" applyAlignment="1">
      <alignment horizontal="left" vertical="top"/>
    </xf>
    <xf numFmtId="0" fontId="1" fillId="0" borderId="42" xfId="4" applyFont="1" applyBorder="1" applyAlignment="1">
      <alignment horizontal="left" vertical="top"/>
    </xf>
    <xf numFmtId="0" fontId="1" fillId="0" borderId="0" xfId="4" applyFont="1" applyAlignment="1">
      <alignment vertical="center"/>
    </xf>
    <xf numFmtId="0" fontId="1" fillId="0" borderId="3" xfId="4" applyFont="1" applyBorder="1" applyAlignment="1">
      <alignment horizontal="left" vertical="top"/>
    </xf>
    <xf numFmtId="0" fontId="1" fillId="0" borderId="4" xfId="4" applyFont="1" applyBorder="1" applyAlignment="1">
      <alignment horizontal="left" vertical="top"/>
    </xf>
    <xf numFmtId="0" fontId="9" fillId="0" borderId="13" xfId="4" applyFont="1" applyBorder="1" applyAlignment="1">
      <alignment horizontal="center" vertical="center"/>
    </xf>
    <xf numFmtId="0" fontId="9" fillId="0" borderId="4" xfId="4" applyFont="1" applyBorder="1" applyAlignment="1">
      <alignment horizontal="center" vertical="center"/>
    </xf>
    <xf numFmtId="168" fontId="1" fillId="0" borderId="12" xfId="4" applyNumberFormat="1" applyFont="1" applyBorder="1" applyAlignment="1">
      <alignment horizontal="center" vertical="center" wrapText="1"/>
    </xf>
    <xf numFmtId="0" fontId="1" fillId="0" borderId="13" xfId="4" applyFont="1" applyBorder="1" applyAlignment="1">
      <alignment horizontal="center" vertical="center"/>
    </xf>
    <xf numFmtId="2" fontId="1" fillId="0" borderId="12" xfId="4" applyNumberFormat="1" applyFont="1" applyBorder="1" applyAlignment="1">
      <alignment horizontal="center" vertical="center" wrapText="1"/>
    </xf>
    <xf numFmtId="49" fontId="1" fillId="0" borderId="2" xfId="4" applyNumberFormat="1" applyFont="1" applyBorder="1" applyAlignment="1">
      <alignment horizontal="left" vertical="center"/>
    </xf>
    <xf numFmtId="49" fontId="1" fillId="0" borderId="3" xfId="4" applyNumberFormat="1" applyFont="1" applyBorder="1" applyAlignment="1">
      <alignment horizontal="left" vertical="center"/>
    </xf>
    <xf numFmtId="49" fontId="1" fillId="0" borderId="4" xfId="4" applyNumberFormat="1" applyFont="1" applyBorder="1" applyAlignment="1">
      <alignment horizontal="left" vertical="center"/>
    </xf>
    <xf numFmtId="3" fontId="1" fillId="0" borderId="13" xfId="0" applyNumberFormat="1" applyFont="1" applyBorder="1" applyAlignment="1" applyProtection="1">
      <alignment horizontal="center" vertical="center"/>
      <protection locked="0"/>
    </xf>
    <xf numFmtId="39" fontId="1" fillId="0" borderId="13" xfId="0" applyNumberFormat="1" applyFont="1" applyBorder="1" applyAlignment="1" applyProtection="1">
      <alignment horizontal="center" vertical="center"/>
      <protection locked="0"/>
    </xf>
    <xf numFmtId="168" fontId="1" fillId="0" borderId="13" xfId="4" applyNumberFormat="1" applyFont="1" applyBorder="1" applyAlignment="1">
      <alignment horizontal="center" vertical="center"/>
    </xf>
    <xf numFmtId="0" fontId="8" fillId="0" borderId="5" xfId="4" applyFont="1" applyBorder="1" applyAlignment="1">
      <alignment horizontal="right" vertical="center"/>
    </xf>
    <xf numFmtId="4" fontId="8" fillId="0" borderId="5" xfId="4" applyNumberFormat="1" applyFont="1" applyBorder="1" applyAlignment="1">
      <alignment horizontal="right" vertical="center"/>
    </xf>
    <xf numFmtId="4" fontId="8" fillId="0" borderId="23" xfId="4" applyNumberFormat="1" applyFont="1" applyBorder="1" applyAlignment="1">
      <alignment horizontal="right" vertical="center"/>
    </xf>
    <xf numFmtId="3" fontId="1" fillId="0" borderId="53" xfId="0" applyNumberFormat="1" applyFont="1" applyBorder="1" applyAlignment="1" applyProtection="1">
      <alignment horizontal="center" vertical="center"/>
      <protection locked="0"/>
    </xf>
    <xf numFmtId="4" fontId="1" fillId="0" borderId="12" xfId="4" applyNumberFormat="1" applyFont="1" applyBorder="1" applyAlignment="1">
      <alignment horizontal="right" vertical="center"/>
    </xf>
    <xf numFmtId="4" fontId="1" fillId="0" borderId="50" xfId="4" applyNumberFormat="1" applyFont="1" applyBorder="1" applyAlignment="1">
      <alignment vertical="center"/>
    </xf>
    <xf numFmtId="0" fontId="8" fillId="0" borderId="56" xfId="4" applyFont="1" applyBorder="1" applyAlignment="1">
      <alignment horizontal="right" vertical="center"/>
    </xf>
    <xf numFmtId="4" fontId="8" fillId="0" borderId="56" xfId="4" applyNumberFormat="1" applyFont="1" applyBorder="1" applyAlignment="1">
      <alignment horizontal="right" vertical="center"/>
    </xf>
    <xf numFmtId="0" fontId="7" fillId="0" borderId="24" xfId="4" applyFont="1" applyBorder="1" applyAlignment="1">
      <alignment horizontal="left" vertical="top"/>
    </xf>
    <xf numFmtId="0" fontId="7" fillId="0" borderId="18" xfId="4" applyFont="1" applyBorder="1" applyAlignment="1">
      <alignment horizontal="left" vertical="top"/>
    </xf>
    <xf numFmtId="0" fontId="7" fillId="0" borderId="19" xfId="4" applyFont="1" applyBorder="1" applyAlignment="1">
      <alignment horizontal="left" vertical="top"/>
    </xf>
    <xf numFmtId="168" fontId="7" fillId="0" borderId="17" xfId="4" applyNumberFormat="1" applyFont="1" applyBorder="1" applyAlignment="1">
      <alignment horizontal="left" vertical="top"/>
    </xf>
    <xf numFmtId="0" fontId="7" fillId="0" borderId="25" xfId="4" applyFont="1" applyBorder="1" applyAlignment="1">
      <alignment horizontal="left" vertical="top"/>
    </xf>
    <xf numFmtId="0" fontId="7" fillId="0" borderId="16" xfId="4" applyFont="1" applyBorder="1" applyAlignment="1">
      <alignment horizontal="left" vertical="top"/>
    </xf>
    <xf numFmtId="0" fontId="7" fillId="0" borderId="26" xfId="4" applyFont="1" applyBorder="1" applyAlignment="1">
      <alignment horizontal="left" vertical="top"/>
    </xf>
    <xf numFmtId="0" fontId="1" fillId="0" borderId="29" xfId="4" applyFont="1" applyBorder="1" applyAlignment="1">
      <alignment vertical="center"/>
    </xf>
    <xf numFmtId="0" fontId="1" fillId="0" borderId="30" xfId="4" applyFont="1" applyBorder="1" applyAlignment="1">
      <alignment vertical="center"/>
    </xf>
    <xf numFmtId="168" fontId="1" fillId="0" borderId="47" xfId="4" applyNumberFormat="1" applyFont="1" applyBorder="1" applyAlignment="1">
      <alignment vertical="center"/>
    </xf>
    <xf numFmtId="0" fontId="1" fillId="0" borderId="0" xfId="4" applyFont="1" applyAlignment="1">
      <alignment vertical="top"/>
    </xf>
    <xf numFmtId="168" fontId="1" fillId="0" borderId="0" xfId="4" applyNumberFormat="1" applyFont="1" applyAlignment="1">
      <alignment vertical="top"/>
    </xf>
    <xf numFmtId="168" fontId="1" fillId="0" borderId="0" xfId="4" applyNumberFormat="1" applyFont="1" applyAlignment="1">
      <alignment vertical="center"/>
    </xf>
    <xf numFmtId="3" fontId="1" fillId="0" borderId="13" xfId="5" applyNumberFormat="1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4" fontId="23" fillId="0" borderId="13" xfId="0" applyNumberFormat="1" applyFont="1" applyBorder="1" applyAlignment="1">
      <alignment horizontal="right" vertical="center"/>
    </xf>
    <xf numFmtId="4" fontId="23" fillId="0" borderId="13" xfId="5" applyNumberFormat="1" applyFont="1" applyBorder="1" applyAlignment="1">
      <alignment horizontal="right" vertical="center"/>
    </xf>
    <xf numFmtId="4" fontId="1" fillId="0" borderId="0" xfId="5" applyNumberFormat="1" applyFont="1" applyAlignment="1">
      <alignment vertical="center"/>
    </xf>
    <xf numFmtId="0" fontId="1" fillId="0" borderId="6" xfId="5" applyFont="1" applyBorder="1" applyAlignment="1">
      <alignment horizontal="left" vertical="top"/>
    </xf>
    <xf numFmtId="0" fontId="1" fillId="0" borderId="0" xfId="5" applyFont="1" applyAlignment="1">
      <alignment horizontal="left" vertical="top"/>
    </xf>
    <xf numFmtId="10" fontId="17" fillId="0" borderId="13" xfId="7" applyNumberFormat="1" applyFont="1" applyFill="1" applyBorder="1" applyAlignment="1" applyProtection="1">
      <alignment horizontal="center"/>
    </xf>
    <xf numFmtId="4" fontId="1" fillId="0" borderId="4" xfId="0" applyNumberFormat="1" applyFont="1" applyBorder="1" applyAlignment="1">
      <alignment horizontal="right"/>
    </xf>
    <xf numFmtId="10" fontId="17" fillId="0" borderId="5" xfId="0" applyNumberFormat="1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8" fillId="0" borderId="12" xfId="5" applyFont="1" applyBorder="1" applyAlignment="1">
      <alignment horizontal="center" vertical="center"/>
    </xf>
    <xf numFmtId="0" fontId="8" fillId="0" borderId="11" xfId="5" applyFont="1" applyBorder="1" applyAlignment="1">
      <alignment horizontal="center" vertical="center"/>
    </xf>
    <xf numFmtId="0" fontId="8" fillId="0" borderId="4" xfId="5" applyFont="1" applyBorder="1" applyAlignment="1">
      <alignment horizontal="center" vertical="center"/>
    </xf>
    <xf numFmtId="0" fontId="8" fillId="0" borderId="3" xfId="5" applyFont="1" applyBorder="1" applyAlignment="1">
      <alignment horizontal="left" vertical="center"/>
    </xf>
    <xf numFmtId="10" fontId="8" fillId="0" borderId="9" xfId="0" applyNumberFormat="1" applyFont="1" applyBorder="1" applyAlignment="1">
      <alignment horizontal="center"/>
    </xf>
    <xf numFmtId="0" fontId="2" fillId="0" borderId="21" xfId="5" applyBorder="1" applyAlignment="1">
      <alignment horizontal="right" vertical="center"/>
    </xf>
    <xf numFmtId="10" fontId="17" fillId="0" borderId="5" xfId="7" applyNumberFormat="1" applyFont="1" applyFill="1" applyBorder="1" applyAlignment="1" applyProtection="1">
      <alignment horizontal="center"/>
    </xf>
    <xf numFmtId="0" fontId="4" fillId="0" borderId="21" xfId="5" applyFont="1" applyBorder="1" applyAlignment="1">
      <alignment horizontal="right" vertical="center"/>
    </xf>
    <xf numFmtId="0" fontId="4" fillId="0" borderId="22" xfId="5" applyFont="1" applyBorder="1" applyAlignment="1">
      <alignment horizontal="right" vertical="center"/>
    </xf>
    <xf numFmtId="10" fontId="4" fillId="0" borderId="22" xfId="0" applyNumberFormat="1" applyFont="1" applyBorder="1" applyAlignment="1">
      <alignment horizontal="center"/>
    </xf>
    <xf numFmtId="4" fontId="4" fillId="0" borderId="20" xfId="0" applyNumberFormat="1" applyFont="1" applyBorder="1" applyAlignment="1">
      <alignment horizontal="center"/>
    </xf>
    <xf numFmtId="10" fontId="8" fillId="0" borderId="9" xfId="7" applyNumberFormat="1" applyFont="1" applyFill="1" applyBorder="1" applyAlignment="1" applyProtection="1">
      <alignment horizontal="center" vertical="center"/>
    </xf>
    <xf numFmtId="4" fontId="8" fillId="0" borderId="9" xfId="5" applyNumberFormat="1" applyFont="1" applyBorder="1" applyAlignment="1">
      <alignment horizontal="right" vertical="center"/>
    </xf>
    <xf numFmtId="0" fontId="0" fillId="0" borderId="54" xfId="0" applyBorder="1"/>
    <xf numFmtId="0" fontId="0" fillId="0" borderId="41" xfId="0" applyBorder="1"/>
    <xf numFmtId="0" fontId="0" fillId="0" borderId="43" xfId="0" applyBorder="1"/>
    <xf numFmtId="0" fontId="1" fillId="0" borderId="68" xfId="0" applyFont="1" applyBorder="1" applyAlignment="1">
      <alignment horizontal="left"/>
    </xf>
    <xf numFmtId="0" fontId="20" fillId="0" borderId="43" xfId="0" applyFont="1" applyBorder="1"/>
    <xf numFmtId="0" fontId="7" fillId="0" borderId="53" xfId="0" applyFont="1" applyBorder="1" applyAlignment="1">
      <alignment horizontal="center" vertical="top" wrapText="1"/>
    </xf>
    <xf numFmtId="40" fontId="20" fillId="0" borderId="43" xfId="7" applyFill="1" applyBorder="1"/>
    <xf numFmtId="0" fontId="9" fillId="0" borderId="73" xfId="0" applyFont="1" applyBorder="1" applyAlignment="1">
      <alignment horizontal="left" vertical="center"/>
    </xf>
    <xf numFmtId="0" fontId="9" fillId="0" borderId="53" xfId="0" applyFont="1" applyBorder="1" applyAlignment="1">
      <alignment horizontal="left" vertical="center"/>
    </xf>
    <xf numFmtId="0" fontId="9" fillId="0" borderId="53" xfId="0" applyFont="1" applyBorder="1" applyAlignment="1">
      <alignment horizontal="center" vertical="center"/>
    </xf>
    <xf numFmtId="168" fontId="9" fillId="0" borderId="53" xfId="0" applyNumberFormat="1" applyFont="1" applyBorder="1" applyAlignment="1">
      <alignment horizontal="left" vertical="center"/>
    </xf>
    <xf numFmtId="0" fontId="7" fillId="0" borderId="42" xfId="2" applyFont="1" applyBorder="1" applyAlignment="1">
      <alignment horizontal="left" vertical="top"/>
    </xf>
    <xf numFmtId="0" fontId="7" fillId="0" borderId="42" xfId="0" applyFont="1" applyBorder="1" applyAlignment="1">
      <alignment horizontal="left" vertical="center"/>
    </xf>
    <xf numFmtId="0" fontId="0" fillId="0" borderId="30" xfId="0" applyBorder="1"/>
    <xf numFmtId="0" fontId="0" fillId="0" borderId="31" xfId="0" applyBorder="1"/>
    <xf numFmtId="0" fontId="7" fillId="0" borderId="61" xfId="4" applyFont="1" applyBorder="1" applyAlignment="1">
      <alignment horizontal="left" vertical="top"/>
    </xf>
    <xf numFmtId="0" fontId="8" fillId="0" borderId="59" xfId="4" applyFont="1" applyBorder="1" applyAlignment="1">
      <alignment horizontal="right" vertical="center"/>
    </xf>
    <xf numFmtId="0" fontId="8" fillId="0" borderId="53" xfId="5" applyFont="1" applyBorder="1" applyAlignment="1">
      <alignment horizontal="center" vertical="center"/>
    </xf>
    <xf numFmtId="0" fontId="14" fillId="0" borderId="53" xfId="0" applyFont="1" applyBorder="1" applyAlignment="1">
      <alignment horizontal="center"/>
    </xf>
    <xf numFmtId="4" fontId="1" fillId="0" borderId="51" xfId="5" applyNumberFormat="1" applyFont="1" applyBorder="1" applyAlignment="1">
      <alignment horizontal="right" vertical="center"/>
    </xf>
    <xf numFmtId="0" fontId="14" fillId="0" borderId="49" xfId="0" applyFont="1" applyBorder="1" applyAlignment="1">
      <alignment vertical="center"/>
    </xf>
    <xf numFmtId="4" fontId="14" fillId="0" borderId="49" xfId="0" applyNumberFormat="1" applyFont="1" applyBorder="1" applyAlignment="1" applyProtection="1">
      <alignment vertical="center"/>
      <protection locked="0"/>
    </xf>
    <xf numFmtId="4" fontId="1" fillId="0" borderId="49" xfId="5" applyNumberFormat="1" applyFont="1" applyBorder="1" applyAlignment="1">
      <alignment vertical="center"/>
    </xf>
    <xf numFmtId="4" fontId="1" fillId="0" borderId="49" xfId="0" applyNumberFormat="1" applyFont="1" applyBorder="1" applyAlignment="1">
      <alignment vertical="center"/>
    </xf>
    <xf numFmtId="0" fontId="1" fillId="0" borderId="53" xfId="0" applyFont="1" applyBorder="1" applyAlignment="1">
      <alignment horizontal="center" vertical="center"/>
    </xf>
    <xf numFmtId="0" fontId="9" fillId="0" borderId="53" xfId="4" applyFont="1" applyBorder="1" applyAlignment="1">
      <alignment horizontal="center" vertical="center"/>
    </xf>
    <xf numFmtId="0" fontId="1" fillId="0" borderId="53" xfId="4" applyFont="1" applyBorder="1" applyAlignment="1">
      <alignment horizontal="center" vertical="center"/>
    </xf>
    <xf numFmtId="0" fontId="1" fillId="0" borderId="62" xfId="4" applyFont="1" applyBorder="1" applyAlignment="1">
      <alignment horizontal="center" vertical="center"/>
    </xf>
    <xf numFmtId="4" fontId="1" fillId="0" borderId="51" xfId="4" applyNumberFormat="1" applyFont="1" applyBorder="1" applyAlignment="1">
      <alignment horizontal="right" vertical="center"/>
    </xf>
    <xf numFmtId="4" fontId="1" fillId="0" borderId="49" xfId="4" applyNumberFormat="1" applyFont="1" applyBorder="1" applyAlignment="1">
      <alignment vertical="center"/>
    </xf>
    <xf numFmtId="4" fontId="1" fillId="0" borderId="53" xfId="4" applyNumberFormat="1" applyFont="1" applyBorder="1" applyAlignment="1">
      <alignment horizontal="right" vertical="center"/>
    </xf>
    <xf numFmtId="4" fontId="8" fillId="0" borderId="59" xfId="4" applyNumberFormat="1" applyFont="1" applyBorder="1" applyAlignment="1">
      <alignment horizontal="right" vertical="center"/>
    </xf>
    <xf numFmtId="168" fontId="1" fillId="0" borderId="53" xfId="0" applyNumberFormat="1" applyFont="1" applyBorder="1" applyAlignment="1">
      <alignment horizontal="center" vertical="center"/>
    </xf>
    <xf numFmtId="49" fontId="1" fillId="0" borderId="51" xfId="4" applyNumberFormat="1" applyFont="1" applyBorder="1" applyAlignment="1">
      <alignment horizontal="left" vertical="center"/>
    </xf>
    <xf numFmtId="49" fontId="1" fillId="0" borderId="52" xfId="4" applyNumberFormat="1" applyFont="1" applyBorder="1" applyAlignment="1">
      <alignment horizontal="left" vertical="center"/>
    </xf>
    <xf numFmtId="49" fontId="1" fillId="0" borderId="53" xfId="4" applyNumberFormat="1" applyFont="1" applyBorder="1" applyAlignment="1">
      <alignment horizontal="left" vertical="center"/>
    </xf>
    <xf numFmtId="4" fontId="8" fillId="0" borderId="62" xfId="4" applyNumberFormat="1" applyFont="1" applyBorder="1" applyAlignment="1">
      <alignment horizontal="right" vertical="center"/>
    </xf>
    <xf numFmtId="0" fontId="1" fillId="0" borderId="51" xfId="0" applyFont="1" applyBorder="1" applyAlignment="1">
      <alignment horizontal="left" vertical="center"/>
    </xf>
    <xf numFmtId="0" fontId="1" fillId="0" borderId="52" xfId="0" applyFont="1" applyBorder="1" applyAlignment="1">
      <alignment horizontal="left" vertical="center"/>
    </xf>
    <xf numFmtId="0" fontId="1" fillId="0" borderId="53" xfId="0" applyFont="1" applyBorder="1" applyAlignment="1">
      <alignment horizontal="left" vertical="center"/>
    </xf>
    <xf numFmtId="0" fontId="23" fillId="0" borderId="51" xfId="0" applyFont="1" applyBorder="1" applyAlignment="1">
      <alignment horizontal="left" vertical="center"/>
    </xf>
    <xf numFmtId="0" fontId="23" fillId="0" borderId="52" xfId="0" applyFont="1" applyBorder="1" applyAlignment="1">
      <alignment horizontal="left" vertical="center"/>
    </xf>
    <xf numFmtId="0" fontId="23" fillId="0" borderId="53" xfId="0" applyFont="1" applyBorder="1" applyAlignment="1">
      <alignment horizontal="left" vertical="center"/>
    </xf>
    <xf numFmtId="0" fontId="23" fillId="0" borderId="53" xfId="0" applyFont="1" applyBorder="1" applyAlignment="1">
      <alignment horizontal="center" vertical="center"/>
    </xf>
    <xf numFmtId="49" fontId="1" fillId="0" borderId="53" xfId="5" applyNumberFormat="1" applyFont="1" applyBorder="1" applyAlignment="1">
      <alignment horizontal="center" vertical="center"/>
    </xf>
    <xf numFmtId="49" fontId="1" fillId="0" borderId="51" xfId="5" applyNumberFormat="1" applyFont="1" applyBorder="1" applyAlignment="1">
      <alignment horizontal="left" vertical="center"/>
    </xf>
    <xf numFmtId="49" fontId="1" fillId="0" borderId="52" xfId="5" applyNumberFormat="1" applyFont="1" applyBorder="1" applyAlignment="1">
      <alignment horizontal="left" vertical="center"/>
    </xf>
    <xf numFmtId="49" fontId="1" fillId="0" borderId="53" xfId="5" applyNumberFormat="1" applyFont="1" applyBorder="1" applyAlignment="1">
      <alignment horizontal="left" vertical="center"/>
    </xf>
    <xf numFmtId="0" fontId="7" fillId="0" borderId="62" xfId="5" applyFont="1" applyBorder="1" applyAlignment="1">
      <alignment horizontal="left" vertical="top"/>
    </xf>
    <xf numFmtId="40" fontId="1" fillId="0" borderId="53" xfId="7" applyFont="1" applyFill="1" applyBorder="1" applyAlignment="1" applyProtection="1"/>
    <xf numFmtId="0" fontId="17" fillId="0" borderId="52" xfId="0" applyFont="1" applyBorder="1"/>
    <xf numFmtId="0" fontId="17" fillId="0" borderId="53" xfId="0" applyFont="1" applyBorder="1"/>
    <xf numFmtId="0" fontId="0" fillId="0" borderId="52" xfId="0" applyBorder="1"/>
    <xf numFmtId="0" fontId="0" fillId="0" borderId="53" xfId="0" applyBorder="1"/>
    <xf numFmtId="4" fontId="1" fillId="0" borderId="53" xfId="5" applyNumberFormat="1" applyFont="1" applyBorder="1" applyAlignment="1">
      <alignment horizontal="right"/>
    </xf>
    <xf numFmtId="40" fontId="8" fillId="0" borderId="61" xfId="5" applyNumberFormat="1" applyFont="1" applyBorder="1" applyAlignment="1">
      <alignment horizontal="center" vertical="center"/>
    </xf>
    <xf numFmtId="0" fontId="7" fillId="0" borderId="61" xfId="5" applyFont="1" applyBorder="1" applyAlignment="1">
      <alignment horizontal="left" vertical="top"/>
    </xf>
    <xf numFmtId="40" fontId="7" fillId="0" borderId="62" xfId="7" applyFont="1" applyFill="1" applyBorder="1" applyAlignment="1" applyProtection="1">
      <alignment vertical="top"/>
    </xf>
    <xf numFmtId="0" fontId="19" fillId="0" borderId="51" xfId="0" applyFont="1" applyBorder="1" applyAlignment="1">
      <alignment horizontal="left" vertical="top" wrapText="1"/>
    </xf>
    <xf numFmtId="0" fontId="19" fillId="0" borderId="52" xfId="0" applyFont="1" applyBorder="1" applyAlignment="1">
      <alignment horizontal="left" vertical="top" wrapText="1"/>
    </xf>
    <xf numFmtId="40" fontId="8" fillId="0" borderId="59" xfId="5" applyNumberFormat="1" applyFont="1" applyBorder="1" applyAlignment="1">
      <alignment horizontal="center" vertical="center"/>
    </xf>
    <xf numFmtId="4" fontId="8" fillId="0" borderId="56" xfId="5" applyNumberFormat="1" applyFont="1" applyBorder="1" applyAlignment="1">
      <alignment horizontal="right" vertical="center"/>
    </xf>
    <xf numFmtId="0" fontId="8" fillId="0" borderId="53" xfId="5" applyFont="1" applyBorder="1" applyAlignment="1">
      <alignment horizontal="right" vertical="center"/>
    </xf>
    <xf numFmtId="0" fontId="17" fillId="0" borderId="51" xfId="0" applyFont="1" applyBorder="1" applyAlignment="1">
      <alignment horizontal="left"/>
    </xf>
    <xf numFmtId="0" fontId="17" fillId="0" borderId="52" xfId="0" applyFont="1" applyBorder="1" applyAlignment="1">
      <alignment horizontal="left"/>
    </xf>
    <xf numFmtId="10" fontId="8" fillId="0" borderId="56" xfId="0" applyNumberFormat="1" applyFont="1" applyBorder="1" applyAlignment="1">
      <alignment horizontal="center"/>
    </xf>
    <xf numFmtId="4" fontId="8" fillId="0" borderId="56" xfId="0" applyNumberFormat="1" applyFont="1" applyBorder="1" applyAlignment="1">
      <alignment horizontal="right"/>
    </xf>
    <xf numFmtId="0" fontId="1" fillId="0" borderId="51" xfId="5" applyFont="1" applyBorder="1" applyAlignment="1">
      <alignment horizontal="center" vertical="center"/>
    </xf>
    <xf numFmtId="0" fontId="17" fillId="0" borderId="49" xfId="0" applyFont="1" applyBorder="1"/>
    <xf numFmtId="10" fontId="17" fillId="0" borderId="49" xfId="7" applyNumberFormat="1" applyFont="1" applyFill="1" applyBorder="1" applyAlignment="1" applyProtection="1">
      <alignment horizontal="center"/>
    </xf>
    <xf numFmtId="0" fontId="1" fillId="0" borderId="52" xfId="5" applyFont="1" applyBorder="1" applyAlignment="1">
      <alignment horizontal="left" vertical="center"/>
    </xf>
    <xf numFmtId="4" fontId="14" fillId="0" borderId="51" xfId="0" applyNumberFormat="1" applyFont="1" applyBorder="1" applyAlignment="1" applyProtection="1">
      <alignment horizontal="right"/>
      <protection locked="0"/>
    </xf>
    <xf numFmtId="4" fontId="1" fillId="0" borderId="53" xfId="0" applyNumberFormat="1" applyFont="1" applyBorder="1" applyAlignment="1">
      <alignment horizontal="right" vertical="center"/>
    </xf>
    <xf numFmtId="0" fontId="0" fillId="0" borderId="49" xfId="0" applyBorder="1"/>
    <xf numFmtId="4" fontId="1" fillId="0" borderId="49" xfId="0" applyNumberFormat="1" applyFont="1" applyBorder="1" applyAlignment="1">
      <alignment horizontal="right" vertical="center"/>
    </xf>
    <xf numFmtId="40" fontId="20" fillId="0" borderId="0" xfId="7" applyAlignment="1">
      <alignment vertical="center"/>
    </xf>
    <xf numFmtId="43" fontId="24" fillId="0" borderId="0" xfId="0" applyNumberFormat="1" applyFont="1" applyAlignment="1">
      <alignment vertical="center"/>
    </xf>
    <xf numFmtId="10" fontId="20" fillId="0" borderId="0" xfId="7" applyNumberFormat="1" applyAlignment="1">
      <alignment vertical="center"/>
    </xf>
    <xf numFmtId="14" fontId="1" fillId="0" borderId="8" xfId="5" applyNumberFormat="1" applyFont="1" applyBorder="1" applyAlignment="1">
      <alignment vertical="center"/>
    </xf>
    <xf numFmtId="169" fontId="7" fillId="0" borderId="13" xfId="1" applyNumberFormat="1" applyFont="1" applyBorder="1" applyAlignment="1" applyProtection="1">
      <alignment horizontal="right"/>
      <protection locked="0"/>
    </xf>
    <xf numFmtId="0" fontId="5" fillId="0" borderId="49" xfId="0" applyFont="1" applyBorder="1" applyAlignment="1">
      <alignment horizontal="center"/>
    </xf>
    <xf numFmtId="4" fontId="4" fillId="0" borderId="49" xfId="0" applyNumberFormat="1" applyFont="1" applyBorder="1" applyAlignment="1">
      <alignment horizontal="right"/>
    </xf>
    <xf numFmtId="0" fontId="4" fillId="0" borderId="13" xfId="0" applyFont="1" applyBorder="1" applyAlignment="1">
      <alignment horizontal="center"/>
    </xf>
    <xf numFmtId="4" fontId="4" fillId="0" borderId="13" xfId="0" applyNumberFormat="1" applyFont="1" applyBorder="1" applyAlignment="1">
      <alignment horizontal="right"/>
    </xf>
    <xf numFmtId="0" fontId="4" fillId="0" borderId="5" xfId="0" applyFont="1" applyBorder="1" applyAlignment="1">
      <alignment horizontal="center"/>
    </xf>
    <xf numFmtId="4" fontId="4" fillId="0" borderId="5" xfId="0" applyNumberFormat="1" applyFont="1" applyBorder="1" applyAlignment="1">
      <alignment horizontal="right"/>
    </xf>
    <xf numFmtId="0" fontId="1" fillId="0" borderId="12" xfId="5" applyFont="1" applyBorder="1" applyAlignment="1">
      <alignment horizontal="left" vertical="center"/>
    </xf>
    <xf numFmtId="0" fontId="1" fillId="0" borderId="5" xfId="0" applyFont="1" applyBorder="1" applyAlignment="1">
      <alignment horizontal="left" vertical="top"/>
    </xf>
    <xf numFmtId="0" fontId="1" fillId="0" borderId="12" xfId="0" applyFont="1" applyBorder="1" applyAlignment="1">
      <alignment horizontal="left" vertical="top"/>
    </xf>
    <xf numFmtId="14" fontId="2" fillId="0" borderId="12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5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top"/>
    </xf>
    <xf numFmtId="0" fontId="1" fillId="0" borderId="13" xfId="0" applyFont="1" applyBorder="1" applyAlignment="1">
      <alignment horizontal="left"/>
    </xf>
    <xf numFmtId="4" fontId="1" fillId="0" borderId="13" xfId="0" applyNumberFormat="1" applyFont="1" applyBorder="1" applyAlignment="1">
      <alignment horizontal="right"/>
    </xf>
    <xf numFmtId="10" fontId="1" fillId="0" borderId="13" xfId="0" applyNumberFormat="1" applyFont="1" applyBorder="1" applyAlignment="1">
      <alignment horizontal="left"/>
    </xf>
    <xf numFmtId="0" fontId="5" fillId="0" borderId="13" xfId="0" applyFont="1" applyBorder="1" applyAlignment="1">
      <alignment horizontal="right"/>
    </xf>
    <xf numFmtId="0" fontId="4" fillId="0" borderId="13" xfId="0" applyFont="1" applyBorder="1" applyAlignment="1">
      <alignment horizontal="right"/>
    </xf>
    <xf numFmtId="0" fontId="23" fillId="0" borderId="13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4" fontId="8" fillId="0" borderId="13" xfId="0" applyNumberFormat="1" applyFont="1" applyBorder="1" applyAlignment="1">
      <alignment horizontal="right"/>
    </xf>
    <xf numFmtId="4" fontId="8" fillId="0" borderId="13" xfId="7" applyNumberFormat="1" applyFont="1" applyFill="1" applyBorder="1" applyAlignment="1" applyProtection="1">
      <alignment horizontal="right"/>
    </xf>
    <xf numFmtId="4" fontId="1" fillId="0" borderId="13" xfId="7" applyNumberFormat="1" applyFont="1" applyFill="1" applyBorder="1" applyAlignment="1" applyProtection="1">
      <alignment horizontal="right"/>
    </xf>
    <xf numFmtId="0" fontId="1" fillId="0" borderId="13" xfId="0" applyFont="1" applyBorder="1" applyAlignment="1">
      <alignment horizontal="center"/>
    </xf>
    <xf numFmtId="0" fontId="4" fillId="0" borderId="13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5" fillId="2" borderId="1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top"/>
    </xf>
    <xf numFmtId="0" fontId="6" fillId="2" borderId="12" xfId="0" applyFont="1" applyFill="1" applyBorder="1" applyAlignment="1">
      <alignment horizontal="center"/>
    </xf>
    <xf numFmtId="0" fontId="7" fillId="0" borderId="5" xfId="5" applyFont="1" applyBorder="1" applyAlignment="1">
      <alignment horizontal="left" vertical="top"/>
    </xf>
    <xf numFmtId="0" fontId="7" fillId="0" borderId="12" xfId="5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1" fillId="0" borderId="12" xfId="0" applyFont="1" applyBorder="1" applyAlignment="1">
      <alignment horizontal="left"/>
    </xf>
    <xf numFmtId="0" fontId="7" fillId="0" borderId="12" xfId="0" applyFont="1" applyBorder="1" applyAlignment="1">
      <alignment horizontal="center" vertical="top"/>
    </xf>
    <xf numFmtId="0" fontId="9" fillId="0" borderId="0" xfId="2" applyFont="1" applyAlignment="1">
      <alignment horizontal="center" vertical="top"/>
    </xf>
    <xf numFmtId="0" fontId="9" fillId="0" borderId="10" xfId="2" applyFont="1" applyBorder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4" fontId="7" fillId="0" borderId="72" xfId="5" applyNumberFormat="1" applyFont="1" applyBorder="1"/>
    <xf numFmtId="4" fontId="7" fillId="0" borderId="13" xfId="5" applyNumberFormat="1" applyFont="1" applyBorder="1"/>
    <xf numFmtId="0" fontId="7" fillId="0" borderId="42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67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67" xfId="0" applyFont="1" applyBorder="1" applyAlignment="1">
      <alignment horizontal="left" vertical="top"/>
    </xf>
    <xf numFmtId="0" fontId="7" fillId="0" borderId="11" xfId="0" applyFont="1" applyBorder="1" applyAlignment="1">
      <alignment horizontal="left" vertical="top"/>
    </xf>
    <xf numFmtId="0" fontId="7" fillId="0" borderId="67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67" xfId="5" applyFont="1" applyBorder="1" applyAlignment="1">
      <alignment horizontal="left" vertical="center"/>
    </xf>
    <xf numFmtId="0" fontId="7" fillId="0" borderId="11" xfId="5" applyFont="1" applyBorder="1" applyAlignment="1">
      <alignment horizontal="left" vertical="center"/>
    </xf>
    <xf numFmtId="0" fontId="7" fillId="0" borderId="67" xfId="0" applyFont="1" applyBorder="1" applyAlignment="1">
      <alignment horizontal="left" wrapText="1"/>
    </xf>
    <xf numFmtId="0" fontId="7" fillId="0" borderId="11" xfId="0" applyFont="1" applyBorder="1" applyAlignment="1">
      <alignment horizontal="left" wrapText="1"/>
    </xf>
    <xf numFmtId="0" fontId="7" fillId="0" borderId="67" xfId="5" applyFont="1" applyBorder="1" applyAlignment="1">
      <alignment horizontal="left" vertical="top"/>
    </xf>
    <xf numFmtId="0" fontId="7" fillId="0" borderId="11" xfId="5" applyFont="1" applyBorder="1" applyAlignment="1">
      <alignment horizontal="left" vertical="top"/>
    </xf>
    <xf numFmtId="0" fontId="7" fillId="0" borderId="67" xfId="2" applyFont="1" applyBorder="1" applyAlignment="1">
      <alignment horizontal="left" vertical="top"/>
    </xf>
    <xf numFmtId="0" fontId="7" fillId="0" borderId="11" xfId="2" applyFont="1" applyBorder="1" applyAlignment="1">
      <alignment horizontal="left" vertical="top"/>
    </xf>
    <xf numFmtId="49" fontId="22" fillId="0" borderId="73" xfId="5" applyNumberFormat="1" applyFont="1" applyBorder="1" applyAlignment="1">
      <alignment horizontal="right" vertical="center"/>
    </xf>
    <xf numFmtId="49" fontId="22" fillId="0" borderId="51" xfId="5" applyNumberFormat="1" applyFont="1" applyBorder="1" applyAlignment="1">
      <alignment horizontal="right" vertical="center"/>
    </xf>
    <xf numFmtId="0" fontId="9" fillId="0" borderId="7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7" fillId="0" borderId="4" xfId="5" applyFont="1" applyBorder="1" applyAlignment="1">
      <alignment horizontal="left" vertical="top"/>
    </xf>
    <xf numFmtId="0" fontId="7" fillId="0" borderId="71" xfId="5" applyFont="1" applyBorder="1" applyAlignment="1">
      <alignment horizontal="left" vertical="top"/>
    </xf>
    <xf numFmtId="14" fontId="7" fillId="0" borderId="4" xfId="5" applyNumberFormat="1" applyFont="1" applyBorder="1" applyAlignment="1">
      <alignment horizontal="left" vertical="top"/>
    </xf>
    <xf numFmtId="0" fontId="0" fillId="0" borderId="40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3" xfId="0" applyBorder="1" applyAlignment="1">
      <alignment horizontal="center"/>
    </xf>
    <xf numFmtId="0" fontId="7" fillId="0" borderId="66" xfId="5" applyFont="1" applyBorder="1" applyAlignment="1">
      <alignment horizontal="left" vertical="top"/>
    </xf>
    <xf numFmtId="0" fontId="7" fillId="0" borderId="35" xfId="5" applyFont="1" applyBorder="1" applyAlignment="1">
      <alignment horizontal="left" vertical="top"/>
    </xf>
    <xf numFmtId="0" fontId="7" fillId="0" borderId="19" xfId="5" applyFont="1" applyBorder="1" applyAlignment="1">
      <alignment horizontal="left" vertical="top"/>
    </xf>
    <xf numFmtId="0" fontId="7" fillId="0" borderId="70" xfId="2" applyFont="1" applyBorder="1" applyAlignment="1">
      <alignment horizontal="left" vertical="top"/>
    </xf>
    <xf numFmtId="0" fontId="7" fillId="0" borderId="5" xfId="2" applyFont="1" applyBorder="1" applyAlignment="1">
      <alignment horizontal="left" vertical="top"/>
    </xf>
    <xf numFmtId="40" fontId="7" fillId="0" borderId="62" xfId="7" applyFont="1" applyFill="1" applyBorder="1" applyAlignment="1" applyProtection="1">
      <alignment horizontal="left" vertical="top"/>
    </xf>
    <xf numFmtId="4" fontId="21" fillId="0" borderId="13" xfId="5" applyNumberFormat="1" applyFont="1" applyBorder="1" applyAlignment="1">
      <alignment horizontal="left"/>
    </xf>
    <xf numFmtId="49" fontId="9" fillId="0" borderId="74" xfId="5" applyNumberFormat="1" applyFont="1" applyBorder="1" applyAlignment="1">
      <alignment horizontal="center" vertical="center"/>
    </xf>
    <xf numFmtId="49" fontId="9" fillId="0" borderId="9" xfId="5" applyNumberFormat="1" applyFont="1" applyBorder="1" applyAlignment="1">
      <alignment horizontal="center" vertical="center"/>
    </xf>
    <xf numFmtId="0" fontId="9" fillId="0" borderId="70" xfId="2" applyFont="1" applyBorder="1" applyAlignment="1">
      <alignment horizontal="left" vertical="top"/>
    </xf>
    <xf numFmtId="0" fontId="9" fillId="0" borderId="5" xfId="2" applyFont="1" applyBorder="1" applyAlignment="1">
      <alignment horizontal="left" vertical="top"/>
    </xf>
    <xf numFmtId="0" fontId="7" fillId="0" borderId="72" xfId="0" applyFont="1" applyBorder="1" applyAlignment="1">
      <alignment wrapText="1"/>
    </xf>
    <xf numFmtId="0" fontId="7" fillId="0" borderId="13" xfId="0" applyFont="1" applyBorder="1" applyAlignment="1">
      <alignment wrapText="1"/>
    </xf>
    <xf numFmtId="0" fontId="7" fillId="0" borderId="72" xfId="0" applyFont="1" applyBorder="1" applyAlignment="1">
      <alignment horizontal="left" wrapText="1"/>
    </xf>
    <xf numFmtId="0" fontId="7" fillId="0" borderId="13" xfId="0" applyFont="1" applyBorder="1" applyAlignment="1">
      <alignment horizontal="left" wrapText="1"/>
    </xf>
    <xf numFmtId="4" fontId="7" fillId="0" borderId="67" xfId="5" applyNumberFormat="1" applyFont="1" applyBorder="1" applyAlignment="1">
      <alignment horizontal="center" vertical="center"/>
    </xf>
    <xf numFmtId="4" fontId="7" fillId="0" borderId="11" xfId="5" applyNumberFormat="1" applyFont="1" applyBorder="1" applyAlignment="1">
      <alignment horizontal="center" vertical="center"/>
    </xf>
    <xf numFmtId="4" fontId="7" fillId="0" borderId="70" xfId="5" applyNumberFormat="1" applyFont="1" applyBorder="1" applyAlignment="1">
      <alignment horizontal="center" vertical="center"/>
    </xf>
    <xf numFmtId="4" fontId="7" fillId="0" borderId="5" xfId="5" applyNumberFormat="1" applyFont="1" applyBorder="1" applyAlignment="1">
      <alignment horizontal="center" vertical="center"/>
    </xf>
    <xf numFmtId="0" fontId="7" fillId="0" borderId="29" xfId="0" applyFont="1" applyBorder="1" applyAlignment="1">
      <alignment horizontal="left" wrapText="1"/>
    </xf>
    <xf numFmtId="0" fontId="7" fillId="0" borderId="30" xfId="0" applyFont="1" applyBorder="1" applyAlignment="1">
      <alignment horizontal="left" wrapText="1"/>
    </xf>
    <xf numFmtId="0" fontId="6" fillId="0" borderId="65" xfId="5" applyFont="1" applyBorder="1" applyAlignment="1">
      <alignment horizontal="center" vertical="center"/>
    </xf>
    <xf numFmtId="0" fontId="6" fillId="0" borderId="56" xfId="5" applyFont="1" applyBorder="1" applyAlignment="1">
      <alignment horizontal="center" vertical="center"/>
    </xf>
    <xf numFmtId="0" fontId="1" fillId="0" borderId="62" xfId="0" applyFont="1" applyBorder="1" applyAlignment="1">
      <alignment horizontal="left" vertical="top"/>
    </xf>
    <xf numFmtId="0" fontId="6" fillId="0" borderId="8" xfId="2" applyFont="1" applyBorder="1" applyAlignment="1">
      <alignment horizontal="center" vertical="center"/>
    </xf>
    <xf numFmtId="0" fontId="9" fillId="0" borderId="69" xfId="5" applyFont="1" applyBorder="1" applyAlignment="1">
      <alignment horizontal="center" vertical="center"/>
    </xf>
    <xf numFmtId="0" fontId="9" fillId="0" borderId="36" xfId="5" applyFont="1" applyBorder="1" applyAlignment="1">
      <alignment horizontal="center" vertical="center"/>
    </xf>
    <xf numFmtId="0" fontId="9" fillId="0" borderId="15" xfId="5" applyFont="1" applyBorder="1" applyAlignment="1">
      <alignment horizontal="center" vertical="center"/>
    </xf>
    <xf numFmtId="0" fontId="7" fillId="0" borderId="9" xfId="5" applyFont="1" applyBorder="1" applyAlignment="1">
      <alignment horizontal="left" vertical="top"/>
    </xf>
    <xf numFmtId="0" fontId="1" fillId="0" borderId="9" xfId="0" applyFont="1" applyBorder="1" applyAlignment="1">
      <alignment horizontal="left"/>
    </xf>
    <xf numFmtId="0" fontId="7" fillId="0" borderId="32" xfId="5" applyFont="1" applyBorder="1" applyAlignment="1">
      <alignment horizontal="left" vertical="top"/>
    </xf>
    <xf numFmtId="0" fontId="7" fillId="0" borderId="33" xfId="5" applyFont="1" applyBorder="1" applyAlignment="1">
      <alignment horizontal="left" vertical="top"/>
    </xf>
    <xf numFmtId="0" fontId="7" fillId="0" borderId="34" xfId="5" applyFont="1" applyBorder="1" applyAlignment="1">
      <alignment horizontal="left" vertical="top"/>
    </xf>
    <xf numFmtId="4" fontId="7" fillId="0" borderId="71" xfId="5" applyNumberFormat="1" applyFont="1" applyBorder="1" applyAlignment="1">
      <alignment horizontal="center" vertical="center"/>
    </xf>
    <xf numFmtId="4" fontId="7" fillId="0" borderId="12" xfId="5" applyNumberFormat="1" applyFont="1" applyBorder="1" applyAlignment="1">
      <alignment horizontal="center" vertical="center"/>
    </xf>
    <xf numFmtId="0" fontId="9" fillId="0" borderId="72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7" fillId="0" borderId="73" xfId="0" applyFont="1" applyBorder="1" applyAlignment="1">
      <alignment horizontal="left" wrapText="1"/>
    </xf>
    <xf numFmtId="0" fontId="7" fillId="0" borderId="53" xfId="0" applyFont="1" applyBorder="1" applyAlignment="1">
      <alignment horizontal="left" wrapText="1"/>
    </xf>
    <xf numFmtId="0" fontId="1" fillId="0" borderId="42" xfId="4" applyFont="1" applyBorder="1" applyAlignment="1">
      <alignment horizontal="left" vertical="top"/>
    </xf>
    <xf numFmtId="0" fontId="1" fillId="0" borderId="0" xfId="4" applyFont="1" applyAlignment="1">
      <alignment horizontal="left" vertical="top"/>
    </xf>
    <xf numFmtId="0" fontId="1" fillId="0" borderId="43" xfId="4" applyFont="1" applyBorder="1" applyAlignment="1">
      <alignment horizontal="left" vertical="top"/>
    </xf>
    <xf numFmtId="14" fontId="7" fillId="0" borderId="11" xfId="5" applyNumberFormat="1" applyFont="1" applyBorder="1" applyAlignment="1">
      <alignment horizontal="left" vertical="top"/>
    </xf>
    <xf numFmtId="0" fontId="1" fillId="0" borderId="40" xfId="4" applyFont="1" applyBorder="1" applyAlignment="1">
      <alignment horizontal="left" vertical="top"/>
    </xf>
    <xf numFmtId="0" fontId="1" fillId="0" borderId="54" xfId="4" applyFont="1" applyBorder="1" applyAlignment="1">
      <alignment horizontal="left" vertical="top"/>
    </xf>
    <xf numFmtId="0" fontId="1" fillId="0" borderId="41" xfId="4" applyFont="1" applyBorder="1" applyAlignment="1">
      <alignment horizontal="left" vertical="top"/>
    </xf>
    <xf numFmtId="0" fontId="1" fillId="0" borderId="42" xfId="3" applyFont="1" applyBorder="1" applyAlignment="1">
      <alignment horizontal="left" vertical="top"/>
    </xf>
    <xf numFmtId="0" fontId="1" fillId="0" borderId="0" xfId="3" applyFont="1" applyAlignment="1">
      <alignment horizontal="left" vertical="top"/>
    </xf>
    <xf numFmtId="0" fontId="1" fillId="0" borderId="43" xfId="3" applyFont="1" applyBorder="1" applyAlignment="1">
      <alignment horizontal="left" vertical="top"/>
    </xf>
    <xf numFmtId="0" fontId="0" fillId="0" borderId="0" xfId="0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13" xfId="0" applyFont="1" applyBorder="1" applyAlignment="1">
      <alignment horizontal="center" vertical="center"/>
    </xf>
    <xf numFmtId="49" fontId="8" fillId="0" borderId="13" xfId="5" applyNumberFormat="1" applyFont="1" applyBorder="1" applyAlignment="1">
      <alignment horizontal="right" vertical="center"/>
    </xf>
    <xf numFmtId="0" fontId="14" fillId="0" borderId="51" xfId="0" applyFont="1" applyBorder="1" applyAlignment="1">
      <alignment horizontal="center"/>
    </xf>
    <xf numFmtId="0" fontId="14" fillId="0" borderId="52" xfId="0" applyFont="1" applyBorder="1" applyAlignment="1">
      <alignment horizontal="center"/>
    </xf>
    <xf numFmtId="0" fontId="14" fillId="0" borderId="53" xfId="0" applyFont="1" applyBorder="1" applyAlignment="1">
      <alignment horizontal="center"/>
    </xf>
    <xf numFmtId="0" fontId="8" fillId="0" borderId="13" xfId="5" applyFont="1" applyBorder="1" applyAlignment="1">
      <alignment horizontal="center" vertical="center" wrapText="1"/>
    </xf>
    <xf numFmtId="0" fontId="8" fillId="0" borderId="12" xfId="5" applyFont="1" applyBorder="1" applyAlignment="1">
      <alignment horizontal="center" vertical="center" wrapText="1"/>
    </xf>
    <xf numFmtId="0" fontId="8" fillId="0" borderId="36" xfId="5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0" fontId="8" fillId="0" borderId="53" xfId="5" applyFont="1" applyBorder="1" applyAlignment="1">
      <alignment horizontal="center" vertical="center" wrapText="1"/>
    </xf>
    <xf numFmtId="0" fontId="8" fillId="0" borderId="37" xfId="5" applyFont="1" applyBorder="1" applyAlignment="1">
      <alignment horizontal="center" vertical="center"/>
    </xf>
    <xf numFmtId="0" fontId="1" fillId="0" borderId="7" xfId="0" applyFont="1" applyBorder="1" applyAlignment="1">
      <alignment horizontal="left"/>
    </xf>
    <xf numFmtId="0" fontId="8" fillId="0" borderId="36" xfId="5" applyFont="1" applyBorder="1" applyAlignment="1">
      <alignment horizontal="center" vertical="center" wrapText="1"/>
    </xf>
    <xf numFmtId="0" fontId="1" fillId="0" borderId="0" xfId="4" applyFont="1" applyAlignment="1">
      <alignment horizontal="left" vertical="center" wrapText="1"/>
    </xf>
    <xf numFmtId="49" fontId="1" fillId="0" borderId="51" xfId="4" applyNumberFormat="1" applyFont="1" applyBorder="1" applyAlignment="1">
      <alignment horizontal="left" vertical="center" wrapText="1"/>
    </xf>
    <xf numFmtId="49" fontId="1" fillId="0" borderId="52" xfId="4" applyNumberFormat="1" applyFont="1" applyBorder="1" applyAlignment="1">
      <alignment horizontal="left" vertical="center" wrapText="1"/>
    </xf>
    <xf numFmtId="49" fontId="1" fillId="0" borderId="53" xfId="4" applyNumberFormat="1" applyFont="1" applyBorder="1" applyAlignment="1">
      <alignment horizontal="left" vertical="center" wrapText="1"/>
    </xf>
    <xf numFmtId="49" fontId="1" fillId="0" borderId="36" xfId="4" applyNumberFormat="1" applyFont="1" applyBorder="1" applyAlignment="1">
      <alignment horizontal="left" vertical="center"/>
    </xf>
    <xf numFmtId="0" fontId="8" fillId="0" borderId="16" xfId="4" applyFont="1" applyBorder="1" applyAlignment="1">
      <alignment horizontal="right" vertical="center"/>
    </xf>
    <xf numFmtId="0" fontId="1" fillId="0" borderId="2" xfId="4" applyFont="1" applyBorder="1" applyAlignment="1">
      <alignment horizontal="left" vertical="center"/>
    </xf>
    <xf numFmtId="0" fontId="1" fillId="0" borderId="3" xfId="4" applyFont="1" applyBorder="1" applyAlignment="1">
      <alignment horizontal="left" vertical="center"/>
    </xf>
    <xf numFmtId="0" fontId="1" fillId="0" borderId="28" xfId="4" applyFont="1" applyBorder="1" applyAlignment="1">
      <alignment horizontal="left" vertical="center"/>
    </xf>
    <xf numFmtId="14" fontId="7" fillId="0" borderId="48" xfId="5" applyNumberFormat="1" applyFont="1" applyBorder="1" applyAlignment="1">
      <alignment horizontal="left" vertical="top"/>
    </xf>
    <xf numFmtId="14" fontId="7" fillId="0" borderId="30" xfId="5" applyNumberFormat="1" applyFont="1" applyBorder="1" applyAlignment="1">
      <alignment horizontal="left" vertical="top"/>
    </xf>
    <xf numFmtId="14" fontId="7" fillId="0" borderId="31" xfId="5" applyNumberFormat="1" applyFont="1" applyBorder="1" applyAlignment="1">
      <alignment horizontal="left" vertical="top"/>
    </xf>
    <xf numFmtId="0" fontId="8" fillId="0" borderId="7" xfId="4" applyFont="1" applyBorder="1" applyAlignment="1">
      <alignment horizontal="right" vertical="center"/>
    </xf>
    <xf numFmtId="0" fontId="8" fillId="0" borderId="55" xfId="4" applyFont="1" applyBorder="1" applyAlignment="1">
      <alignment horizontal="right" vertical="center"/>
    </xf>
    <xf numFmtId="49" fontId="1" fillId="0" borderId="17" xfId="4" applyNumberFormat="1" applyFont="1" applyBorder="1" applyAlignment="1">
      <alignment horizontal="left" vertical="center"/>
    </xf>
    <xf numFmtId="49" fontId="1" fillId="0" borderId="18" xfId="4" applyNumberFormat="1" applyFont="1" applyBorder="1" applyAlignment="1">
      <alignment horizontal="left" vertical="center"/>
    </xf>
    <xf numFmtId="49" fontId="1" fillId="0" borderId="19" xfId="4" applyNumberFormat="1" applyFont="1" applyBorder="1" applyAlignment="1">
      <alignment horizontal="left" vertical="center"/>
    </xf>
    <xf numFmtId="0" fontId="8" fillId="0" borderId="57" xfId="4" applyFont="1" applyBorder="1" applyAlignment="1">
      <alignment horizontal="right" vertical="center"/>
    </xf>
    <xf numFmtId="0" fontId="8" fillId="0" borderId="58" xfId="4" applyFont="1" applyBorder="1" applyAlignment="1">
      <alignment horizontal="right" vertical="center"/>
    </xf>
    <xf numFmtId="0" fontId="8" fillId="0" borderId="59" xfId="4" applyFont="1" applyBorder="1" applyAlignment="1">
      <alignment horizontal="right" vertical="center"/>
    </xf>
    <xf numFmtId="0" fontId="1" fillId="0" borderId="27" xfId="4" applyFont="1" applyBorder="1" applyAlignment="1">
      <alignment horizontal="left" vertical="center"/>
    </xf>
    <xf numFmtId="0" fontId="1" fillId="0" borderId="4" xfId="4" applyFont="1" applyBorder="1" applyAlignment="1">
      <alignment horizontal="left" vertical="center"/>
    </xf>
    <xf numFmtId="0" fontId="1" fillId="0" borderId="0" xfId="4" applyFont="1" applyAlignment="1">
      <alignment horizontal="center" vertical="center"/>
    </xf>
    <xf numFmtId="0" fontId="1" fillId="0" borderId="3" xfId="4" applyFont="1" applyBorder="1" applyAlignment="1">
      <alignment horizontal="center" vertical="center"/>
    </xf>
    <xf numFmtId="0" fontId="7" fillId="0" borderId="5" xfId="4" applyFont="1" applyBorder="1" applyAlignment="1">
      <alignment horizontal="left" vertical="top"/>
    </xf>
    <xf numFmtId="0" fontId="7" fillId="0" borderId="62" xfId="4" applyFont="1" applyBorder="1" applyAlignment="1">
      <alignment horizontal="left" vertical="top"/>
    </xf>
    <xf numFmtId="0" fontId="8" fillId="0" borderId="12" xfId="4" applyFont="1" applyBorder="1" applyAlignment="1">
      <alignment horizontal="center" vertical="center"/>
    </xf>
    <xf numFmtId="0" fontId="8" fillId="0" borderId="12" xfId="4" applyFont="1" applyBorder="1" applyAlignment="1">
      <alignment horizontal="center" vertical="center" wrapText="1"/>
    </xf>
    <xf numFmtId="168" fontId="8" fillId="0" borderId="12" xfId="4" applyNumberFormat="1" applyFont="1" applyBorder="1" applyAlignment="1">
      <alignment horizontal="center" vertical="center" wrapText="1"/>
    </xf>
    <xf numFmtId="0" fontId="9" fillId="0" borderId="36" xfId="4" applyFont="1" applyBorder="1" applyAlignment="1">
      <alignment horizontal="center" vertical="center" wrapText="1"/>
    </xf>
    <xf numFmtId="49" fontId="23" fillId="0" borderId="63" xfId="4" applyNumberFormat="1" applyFont="1" applyBorder="1" applyAlignment="1">
      <alignment horizontal="left" vertical="center"/>
    </xf>
    <xf numFmtId="49" fontId="23" fillId="0" borderId="22" xfId="4" applyNumberFormat="1" applyFont="1" applyBorder="1" applyAlignment="1">
      <alignment horizontal="left" vertical="center"/>
    </xf>
    <xf numFmtId="49" fontId="23" fillId="0" borderId="64" xfId="4" applyNumberFormat="1" applyFont="1" applyBorder="1" applyAlignment="1">
      <alignment horizontal="left" vertical="center"/>
    </xf>
    <xf numFmtId="0" fontId="7" fillId="0" borderId="60" xfId="4" applyFont="1" applyBorder="1" applyAlignment="1">
      <alignment horizontal="left" vertical="top"/>
    </xf>
    <xf numFmtId="0" fontId="7" fillId="0" borderId="61" xfId="4" applyFont="1" applyBorder="1" applyAlignment="1">
      <alignment horizontal="left" vertical="top"/>
    </xf>
    <xf numFmtId="0" fontId="8" fillId="0" borderId="55" xfId="4" applyFont="1" applyBorder="1" applyAlignment="1">
      <alignment horizontal="right" vertical="center" wrapText="1"/>
    </xf>
    <xf numFmtId="0" fontId="7" fillId="0" borderId="35" xfId="4" applyFont="1" applyBorder="1" applyAlignment="1">
      <alignment horizontal="left" vertical="top"/>
    </xf>
    <xf numFmtId="0" fontId="7" fillId="0" borderId="8" xfId="5" applyFont="1" applyBorder="1" applyAlignment="1">
      <alignment horizontal="left" vertical="top"/>
    </xf>
    <xf numFmtId="0" fontId="1" fillId="0" borderId="2" xfId="4" applyFont="1" applyBorder="1" applyAlignment="1">
      <alignment horizontal="left" vertical="top"/>
    </xf>
    <xf numFmtId="0" fontId="1" fillId="0" borderId="3" xfId="4" applyFont="1" applyBorder="1" applyAlignment="1">
      <alignment horizontal="left" vertical="top"/>
    </xf>
    <xf numFmtId="0" fontId="1" fillId="0" borderId="13" xfId="4" applyFont="1" applyBorder="1" applyAlignment="1">
      <alignment horizontal="left" vertical="center"/>
    </xf>
    <xf numFmtId="49" fontId="1" fillId="0" borderId="49" xfId="4" applyNumberFormat="1" applyFont="1" applyBorder="1" applyAlignment="1">
      <alignment horizontal="left" vertical="center"/>
    </xf>
    <xf numFmtId="165" fontId="1" fillId="0" borderId="36" xfId="0" applyNumberFormat="1" applyFont="1" applyBorder="1" applyAlignment="1" applyProtection="1">
      <alignment horizontal="left" vertical="center"/>
      <protection locked="0"/>
    </xf>
    <xf numFmtId="0" fontId="1" fillId="0" borderId="11" xfId="4" applyFont="1" applyBorder="1" applyAlignment="1">
      <alignment horizontal="left" vertical="top"/>
    </xf>
    <xf numFmtId="0" fontId="1" fillId="0" borderId="12" xfId="4" applyFont="1" applyBorder="1" applyAlignment="1">
      <alignment horizontal="left" vertical="top"/>
    </xf>
    <xf numFmtId="14" fontId="7" fillId="0" borderId="12" xfId="5" applyNumberFormat="1" applyFont="1" applyBorder="1" applyAlignment="1">
      <alignment horizontal="center" vertical="top"/>
    </xf>
    <xf numFmtId="0" fontId="7" fillId="0" borderId="12" xfId="5" applyFont="1" applyBorder="1" applyAlignment="1">
      <alignment horizontal="center" vertical="top"/>
    </xf>
    <xf numFmtId="0" fontId="8" fillId="0" borderId="52" xfId="5" applyFont="1" applyBorder="1" applyAlignment="1">
      <alignment horizontal="center" vertical="center" wrapText="1"/>
    </xf>
    <xf numFmtId="0" fontId="1" fillId="0" borderId="0" xfId="5" applyFont="1" applyAlignment="1">
      <alignment horizontal="center" vertical="center"/>
    </xf>
    <xf numFmtId="0" fontId="1" fillId="0" borderId="3" xfId="5" applyFont="1" applyBorder="1" applyAlignment="1">
      <alignment horizontal="center" vertical="center"/>
    </xf>
    <xf numFmtId="49" fontId="1" fillId="0" borderId="13" xfId="5" applyNumberFormat="1" applyFont="1" applyBorder="1" applyAlignment="1">
      <alignment horizontal="left" vertical="center"/>
    </xf>
    <xf numFmtId="0" fontId="6" fillId="2" borderId="56" xfId="5" applyFont="1" applyFill="1" applyBorder="1" applyAlignment="1">
      <alignment horizontal="center" vertical="center"/>
    </xf>
    <xf numFmtId="0" fontId="8" fillId="0" borderId="12" xfId="5" applyFont="1" applyBorder="1" applyAlignment="1">
      <alignment horizontal="center" vertical="center"/>
    </xf>
    <xf numFmtId="0" fontId="8" fillId="0" borderId="4" xfId="5" applyFont="1" applyBorder="1" applyAlignment="1">
      <alignment horizontal="center" vertical="center"/>
    </xf>
    <xf numFmtId="0" fontId="1" fillId="0" borderId="2" xfId="5" applyFont="1" applyBorder="1" applyAlignment="1">
      <alignment horizontal="left" vertical="center"/>
    </xf>
    <xf numFmtId="0" fontId="1" fillId="0" borderId="3" xfId="5" applyFont="1" applyBorder="1" applyAlignment="1">
      <alignment horizontal="left" vertical="center"/>
    </xf>
    <xf numFmtId="0" fontId="1" fillId="0" borderId="4" xfId="5" applyFont="1" applyBorder="1" applyAlignment="1">
      <alignment horizontal="left" vertical="center"/>
    </xf>
    <xf numFmtId="2" fontId="16" fillId="0" borderId="13" xfId="0" applyNumberFormat="1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8" fillId="0" borderId="62" xfId="5" applyFont="1" applyBorder="1" applyAlignment="1">
      <alignment horizontal="right" vertical="center"/>
    </xf>
    <xf numFmtId="0" fontId="7" fillId="0" borderId="39" xfId="5" applyFont="1" applyBorder="1" applyAlignment="1">
      <alignment horizontal="left" vertical="top" wrapText="1"/>
    </xf>
    <xf numFmtId="0" fontId="7" fillId="0" borderId="15" xfId="5" applyFont="1" applyBorder="1" applyAlignment="1">
      <alignment horizontal="left" vertical="top" wrapText="1"/>
    </xf>
    <xf numFmtId="0" fontId="7" fillId="0" borderId="37" xfId="5" applyFont="1" applyBorder="1" applyAlignment="1">
      <alignment horizontal="left" vertical="top" wrapText="1"/>
    </xf>
    <xf numFmtId="0" fontId="7" fillId="0" borderId="15" xfId="5" applyFont="1" applyBorder="1" applyAlignment="1">
      <alignment horizontal="left" vertical="top"/>
    </xf>
    <xf numFmtId="0" fontId="7" fillId="0" borderId="37" xfId="5" applyFont="1" applyBorder="1" applyAlignment="1">
      <alignment horizontal="left" vertical="top"/>
    </xf>
    <xf numFmtId="0" fontId="7" fillId="0" borderId="51" xfId="5" applyFont="1" applyBorder="1" applyAlignment="1">
      <alignment horizontal="left" vertical="top" wrapText="1"/>
    </xf>
    <xf numFmtId="0" fontId="7" fillId="0" borderId="53" xfId="5" applyFont="1" applyBorder="1" applyAlignment="1">
      <alignment horizontal="left" vertical="top" wrapText="1"/>
    </xf>
    <xf numFmtId="0" fontId="7" fillId="0" borderId="51" xfId="5" applyFont="1" applyBorder="1" applyAlignment="1">
      <alignment horizontal="left" vertical="top"/>
    </xf>
    <xf numFmtId="0" fontId="7" fillId="0" borderId="52" xfId="5" applyFont="1" applyBorder="1" applyAlignment="1">
      <alignment horizontal="left" vertical="top"/>
    </xf>
    <xf numFmtId="0" fontId="7" fillId="0" borderId="53" xfId="5" applyFont="1" applyBorder="1" applyAlignment="1">
      <alignment horizontal="left" vertical="top"/>
    </xf>
    <xf numFmtId="49" fontId="1" fillId="0" borderId="51" xfId="5" applyNumberFormat="1" applyFont="1" applyBorder="1" applyAlignment="1">
      <alignment horizontal="center" vertical="center"/>
    </xf>
    <xf numFmtId="2" fontId="16" fillId="0" borderId="51" xfId="0" applyNumberFormat="1" applyFont="1" applyBorder="1" applyAlignment="1">
      <alignment horizontal="center" vertical="center" wrapText="1"/>
    </xf>
    <xf numFmtId="0" fontId="7" fillId="0" borderId="44" xfId="5" applyFont="1" applyBorder="1" applyAlignment="1">
      <alignment horizontal="left" vertical="center"/>
    </xf>
    <xf numFmtId="0" fontId="7" fillId="0" borderId="45" xfId="5" applyFont="1" applyBorder="1" applyAlignment="1">
      <alignment horizontal="left" vertical="center"/>
    </xf>
    <xf numFmtId="0" fontId="7" fillId="0" borderId="46" xfId="5" applyFont="1" applyBorder="1" applyAlignment="1">
      <alignment horizontal="left" vertical="center"/>
    </xf>
    <xf numFmtId="0" fontId="8" fillId="0" borderId="56" xfId="5" applyFont="1" applyBorder="1" applyAlignment="1">
      <alignment horizontal="right" vertical="center"/>
    </xf>
    <xf numFmtId="14" fontId="1" fillId="0" borderId="11" xfId="5" applyNumberFormat="1" applyFont="1" applyBorder="1" applyAlignment="1">
      <alignment horizontal="left" vertical="center"/>
    </xf>
    <xf numFmtId="2" fontId="16" fillId="0" borderId="51" xfId="0" applyNumberFormat="1" applyFont="1" applyBorder="1" applyAlignment="1">
      <alignment horizontal="left" vertical="top" wrapText="1"/>
    </xf>
    <xf numFmtId="0" fontId="19" fillId="0" borderId="51" xfId="0" applyFont="1" applyBorder="1" applyAlignment="1">
      <alignment horizontal="left" vertical="top" wrapText="1"/>
    </xf>
    <xf numFmtId="49" fontId="1" fillId="0" borderId="13" xfId="5" applyNumberFormat="1" applyFont="1" applyBorder="1" applyAlignment="1">
      <alignment horizontal="center" vertical="center"/>
    </xf>
    <xf numFmtId="2" fontId="16" fillId="0" borderId="51" xfId="0" applyNumberFormat="1" applyFont="1" applyBorder="1" applyAlignment="1">
      <alignment horizontal="left" vertical="center" wrapText="1"/>
    </xf>
    <xf numFmtId="0" fontId="17" fillId="0" borderId="13" xfId="0" applyFont="1" applyBorder="1" applyAlignment="1">
      <alignment horizontal="left"/>
    </xf>
    <xf numFmtId="0" fontId="8" fillId="0" borderId="16" xfId="5" applyFont="1" applyBorder="1" applyAlignment="1">
      <alignment horizontal="right" vertical="center"/>
    </xf>
    <xf numFmtId="0" fontId="2" fillId="0" borderId="38" xfId="5" applyBorder="1" applyAlignment="1">
      <alignment horizontal="center" vertical="center"/>
    </xf>
    <xf numFmtId="0" fontId="8" fillId="0" borderId="12" xfId="5" applyFont="1" applyBorder="1" applyAlignment="1">
      <alignment horizontal="left" vertical="center"/>
    </xf>
    <xf numFmtId="0" fontId="1" fillId="0" borderId="13" xfId="5" applyFont="1" applyBorder="1" applyAlignment="1">
      <alignment horizontal="left" vertical="center"/>
    </xf>
    <xf numFmtId="0" fontId="7" fillId="0" borderId="6" xfId="5" applyFont="1" applyBorder="1" applyAlignment="1">
      <alignment horizontal="left" vertical="center" wrapText="1"/>
    </xf>
    <xf numFmtId="0" fontId="7" fillId="0" borderId="0" xfId="5" applyFont="1" applyAlignment="1">
      <alignment horizontal="left" vertical="center" wrapText="1"/>
    </xf>
    <xf numFmtId="0" fontId="7" fillId="0" borderId="10" xfId="5" applyFont="1" applyBorder="1" applyAlignment="1">
      <alignment horizontal="left" vertical="center" wrapText="1"/>
    </xf>
    <xf numFmtId="0" fontId="8" fillId="0" borderId="13" xfId="5" applyFont="1" applyBorder="1" applyAlignment="1">
      <alignment horizontal="left" vertical="center"/>
    </xf>
    <xf numFmtId="0" fontId="7" fillId="0" borderId="2" xfId="5" applyFont="1" applyBorder="1" applyAlignment="1">
      <alignment horizontal="left" vertical="top"/>
    </xf>
    <xf numFmtId="0" fontId="7" fillId="0" borderId="3" xfId="5" applyFont="1" applyBorder="1" applyAlignment="1">
      <alignment horizontal="left" vertical="top"/>
    </xf>
    <xf numFmtId="14" fontId="7" fillId="0" borderId="2" xfId="5" applyNumberFormat="1" applyFont="1" applyBorder="1" applyAlignment="1">
      <alignment horizontal="left" vertical="top"/>
    </xf>
    <xf numFmtId="0" fontId="2" fillId="0" borderId="21" xfId="5" applyBorder="1" applyAlignment="1">
      <alignment horizontal="center" vertical="center"/>
    </xf>
    <xf numFmtId="0" fontId="8" fillId="0" borderId="11" xfId="5" applyFont="1" applyBorder="1" applyAlignment="1">
      <alignment horizontal="left" vertical="center"/>
    </xf>
    <xf numFmtId="0" fontId="17" fillId="0" borderId="29" xfId="0" applyFont="1" applyBorder="1"/>
    <xf numFmtId="0" fontId="17" fillId="0" borderId="30" xfId="0" applyFont="1" applyBorder="1"/>
    <xf numFmtId="0" fontId="17" fillId="0" borderId="32" xfId="0" applyFont="1" applyBorder="1"/>
    <xf numFmtId="0" fontId="17" fillId="0" borderId="33" xfId="0" applyFont="1" applyBorder="1"/>
    <xf numFmtId="0" fontId="7" fillId="0" borderId="2" xfId="5" applyFont="1" applyBorder="1" applyAlignment="1">
      <alignment horizontal="center" vertical="top"/>
    </xf>
    <xf numFmtId="0" fontId="7" fillId="0" borderId="3" xfId="5" applyFont="1" applyBorder="1" applyAlignment="1">
      <alignment horizontal="center" vertical="top"/>
    </xf>
    <xf numFmtId="0" fontId="7" fillId="0" borderId="4" xfId="5" applyFont="1" applyBorder="1" applyAlignment="1">
      <alignment horizontal="center" vertical="top"/>
    </xf>
    <xf numFmtId="0" fontId="7" fillId="0" borderId="16" xfId="5" applyFont="1" applyBorder="1" applyAlignment="1">
      <alignment horizontal="left" vertical="top"/>
    </xf>
    <xf numFmtId="0" fontId="7" fillId="0" borderId="61" xfId="5" applyFont="1" applyBorder="1" applyAlignment="1">
      <alignment horizontal="left" vertical="top"/>
    </xf>
    <xf numFmtId="0" fontId="7" fillId="0" borderId="62" xfId="5" applyFont="1" applyBorder="1" applyAlignment="1">
      <alignment horizontal="left" vertical="top"/>
    </xf>
    <xf numFmtId="0" fontId="17" fillId="0" borderId="51" xfId="0" applyFont="1" applyBorder="1" applyAlignment="1">
      <alignment horizontal="left"/>
    </xf>
    <xf numFmtId="0" fontId="17" fillId="0" borderId="52" xfId="0" applyFont="1" applyBorder="1" applyAlignment="1">
      <alignment horizontal="left"/>
    </xf>
    <xf numFmtId="0" fontId="17" fillId="0" borderId="53" xfId="0" applyFont="1" applyBorder="1" applyAlignment="1">
      <alignment horizontal="left"/>
    </xf>
    <xf numFmtId="0" fontId="8" fillId="0" borderId="6" xfId="5" applyFont="1" applyBorder="1" applyAlignment="1">
      <alignment horizontal="right" vertical="center"/>
    </xf>
    <xf numFmtId="0" fontId="2" fillId="0" borderId="20" xfId="5" applyBorder="1" applyAlignment="1">
      <alignment horizontal="center" vertical="center"/>
    </xf>
    <xf numFmtId="0" fontId="8" fillId="0" borderId="21" xfId="5" applyFont="1" applyBorder="1" applyAlignment="1">
      <alignment horizontal="right" vertical="center"/>
    </xf>
    <xf numFmtId="14" fontId="19" fillId="0" borderId="4" xfId="5" applyNumberFormat="1" applyFont="1" applyBorder="1" applyAlignment="1">
      <alignment horizontal="left" vertical="top"/>
    </xf>
    <xf numFmtId="0" fontId="19" fillId="0" borderId="4" xfId="5" applyFont="1" applyBorder="1" applyAlignment="1">
      <alignment horizontal="left" vertical="top"/>
    </xf>
  </cellXfs>
  <cellStyles count="9">
    <cellStyle name="Normal" xfId="0" builtinId="0"/>
    <cellStyle name="Normal 2 2" xfId="8" xr:uid="{00000000-0005-0000-0000-000001000000}"/>
    <cellStyle name="Normal_PP-2A" xfId="1" xr:uid="{00000000-0005-0000-0000-000002000000}"/>
    <cellStyle name="Normal_PP-II" xfId="2" xr:uid="{00000000-0005-0000-0000-000003000000}"/>
    <cellStyle name="Normal_PP-III" xfId="3" xr:uid="{00000000-0005-0000-0000-000004000000}"/>
    <cellStyle name="Normal_PP-V" xfId="4" xr:uid="{00000000-0005-0000-0000-000005000000}"/>
    <cellStyle name="Normal_PP-VI" xfId="5" xr:uid="{00000000-0005-0000-0000-000006000000}"/>
    <cellStyle name="Título 1 1" xfId="6" xr:uid="{00000000-0005-0000-0000-000007000000}"/>
    <cellStyle name="Vírgula" xfId="7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28575</xdr:rowOff>
    </xdr:from>
    <xdr:to>
      <xdr:col>7</xdr:col>
      <xdr:colOff>0</xdr:colOff>
      <xdr:row>9</xdr:row>
      <xdr:rowOff>161925</xdr:rowOff>
    </xdr:to>
    <xdr:sp macro="" textlink="" fLocksText="0">
      <xdr:nvSpPr>
        <xdr:cNvPr id="8193" name="Texto 44">
          <a:extLst>
            <a:ext uri="{FF2B5EF4-FFF2-40B4-BE49-F238E27FC236}">
              <a16:creationId xmlns:a16="http://schemas.microsoft.com/office/drawing/2014/main" id="{00000000-0008-0000-0700-000001200000}"/>
            </a:ext>
          </a:extLst>
        </xdr:cNvPr>
        <xdr:cNvSpPr txBox="1">
          <a:spLocks noChangeArrowheads="1"/>
        </xdr:cNvSpPr>
      </xdr:nvSpPr>
      <xdr:spPr bwMode="auto">
        <a:xfrm>
          <a:off x="5010150" y="1019175"/>
          <a:ext cx="0" cy="276225"/>
        </a:xfrm>
        <a:prstGeom prst="rect">
          <a:avLst/>
        </a:prstGeom>
        <a:solidFill>
          <a:srgbClr val="FFFFFF"/>
        </a:solidFill>
        <a:ln w="9525">
          <a:noFill/>
          <a:round/>
          <a:headEnd/>
          <a:tailEnd/>
        </a:ln>
        <a:effectLst/>
      </xdr:spPr>
      <xdr:txBody>
        <a:bodyPr vertOverflow="clip" wrap="square" lIns="27360" tIns="22680" rIns="27360" bIns="22680" anchor="ctr" upright="1"/>
        <a:lstStyle/>
        <a:p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OBSERVAÇÕES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rv19/AR.GMA/Documents%20and%20Settings/kessis.dalapicola/Meus%20documentos/01%20-%20CODEVASF/01-An&#225;lise%20na%20AD-GCT/Baixio%20de%20Irec&#234;-BA/Montagem%20ELETROMEC&#194;NICA%20-%20Etapa%20Ib/An&#225;lise%20de%202011/Plan.%20I,%20IV%20e%20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 IV"/>
      <sheetName val="Item 1.3 Adm. Local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79"/>
  <sheetViews>
    <sheetView showGridLines="0" view="pageBreakPreview" zoomScaleSheetLayoutView="100" workbookViewId="0">
      <selection activeCell="N3" sqref="N3:O3"/>
    </sheetView>
  </sheetViews>
  <sheetFormatPr defaultColWidth="11.42578125" defaultRowHeight="11.25" x14ac:dyDescent="0.2"/>
  <cols>
    <col min="1" max="1" width="3.42578125" style="1" customWidth="1"/>
    <col min="2" max="2" width="5" style="1" customWidth="1"/>
    <col min="3" max="3" width="7.5703125" style="1" customWidth="1"/>
    <col min="4" max="4" width="3.42578125" style="1" customWidth="1"/>
    <col min="5" max="5" width="5.140625" style="1" customWidth="1"/>
    <col min="6" max="7" width="5" style="1" customWidth="1"/>
    <col min="8" max="8" width="1.85546875" style="1" customWidth="1"/>
    <col min="9" max="9" width="8.140625" style="1" customWidth="1"/>
    <col min="10" max="10" width="7.42578125" style="1" customWidth="1"/>
    <col min="11" max="11" width="7.140625" style="1" customWidth="1"/>
    <col min="12" max="12" width="5.85546875" style="1" customWidth="1"/>
    <col min="13" max="13" width="7.140625" style="1" customWidth="1"/>
    <col min="14" max="14" width="3.140625" style="1" customWidth="1"/>
    <col min="15" max="15" width="19.85546875" style="1" customWidth="1"/>
    <col min="16" max="18" width="11.42578125" style="1"/>
    <col min="19" max="19" width="18.42578125" style="1" customWidth="1"/>
    <col min="20" max="20" width="16.42578125" style="1" customWidth="1"/>
    <col min="21" max="16384" width="11.42578125" style="1"/>
  </cols>
  <sheetData>
    <row r="1" spans="1:22" ht="24.95" customHeight="1" x14ac:dyDescent="0.2">
      <c r="A1" s="269" t="s">
        <v>0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70">
        <f>FSUP!N33</f>
        <v>10518804.023600001</v>
      </c>
      <c r="O1" s="270"/>
      <c r="Q1"/>
      <c r="R1"/>
      <c r="S1"/>
      <c r="T1"/>
      <c r="U1"/>
      <c r="V1"/>
    </row>
    <row r="2" spans="1:22" ht="24.95" customHeight="1" x14ac:dyDescent="0.2">
      <c r="A2" s="271" t="s">
        <v>1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2">
        <f>FSUP!N37</f>
        <v>3181195.98</v>
      </c>
      <c r="O2" s="272"/>
      <c r="Q2"/>
      <c r="R2"/>
      <c r="S2"/>
      <c r="T2"/>
      <c r="U2"/>
      <c r="V2"/>
    </row>
    <row r="3" spans="1:22" ht="24.75" customHeight="1" x14ac:dyDescent="0.25">
      <c r="A3" s="267" t="s">
        <v>2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8">
        <f>FSUP!N38</f>
        <v>13700000.003600001</v>
      </c>
      <c r="O3" s="268"/>
      <c r="Q3"/>
      <c r="R3"/>
      <c r="S3"/>
      <c r="T3"/>
      <c r="U3"/>
      <c r="V3"/>
    </row>
    <row r="4" spans="1:22" ht="12.75" customHeight="1" x14ac:dyDescent="0.2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4"/>
      <c r="Q4"/>
      <c r="R4"/>
      <c r="S4"/>
      <c r="T4"/>
      <c r="U4"/>
      <c r="V4"/>
    </row>
    <row r="5" spans="1:22" ht="12.75" x14ac:dyDescent="0.2">
      <c r="Q5"/>
      <c r="R5"/>
      <c r="S5"/>
      <c r="T5"/>
      <c r="U5"/>
      <c r="V5"/>
    </row>
    <row r="6" spans="1:22" ht="12.75" x14ac:dyDescent="0.2">
      <c r="Q6"/>
      <c r="R6"/>
      <c r="S6"/>
      <c r="T6"/>
      <c r="U6"/>
      <c r="V6"/>
    </row>
    <row r="7" spans="1:22" ht="12.75" x14ac:dyDescent="0.2">
      <c r="Q7"/>
      <c r="R7"/>
      <c r="S7"/>
      <c r="T7"/>
      <c r="U7"/>
      <c r="V7"/>
    </row>
    <row r="8" spans="1:22" ht="12.75" x14ac:dyDescent="0.2">
      <c r="Q8"/>
      <c r="R8"/>
      <c r="S8"/>
      <c r="T8"/>
      <c r="U8"/>
      <c r="V8"/>
    </row>
    <row r="9" spans="1:22" ht="12.75" x14ac:dyDescent="0.2">
      <c r="Q9"/>
      <c r="R9"/>
      <c r="S9"/>
      <c r="T9"/>
      <c r="U9"/>
      <c r="V9"/>
    </row>
    <row r="10" spans="1:22" ht="12.75" x14ac:dyDescent="0.2">
      <c r="Q10"/>
      <c r="R10"/>
      <c r="S10"/>
      <c r="T10"/>
      <c r="U10"/>
      <c r="V10"/>
    </row>
    <row r="11" spans="1:22" ht="12.75" x14ac:dyDescent="0.2">
      <c r="Q11"/>
      <c r="R11"/>
      <c r="S11"/>
      <c r="T11"/>
      <c r="U11"/>
      <c r="V11"/>
    </row>
    <row r="12" spans="1:22" ht="12.75" x14ac:dyDescent="0.2">
      <c r="Q12"/>
      <c r="R12"/>
      <c r="S12"/>
      <c r="T12"/>
      <c r="U12"/>
      <c r="V12"/>
    </row>
    <row r="13" spans="1:22" ht="12.75" x14ac:dyDescent="0.2">
      <c r="Q13"/>
      <c r="R13"/>
      <c r="S13"/>
      <c r="T13"/>
      <c r="U13"/>
      <c r="V13"/>
    </row>
    <row r="14" spans="1:22" ht="12.75" x14ac:dyDescent="0.2">
      <c r="Q14"/>
      <c r="R14"/>
      <c r="S14"/>
      <c r="T14"/>
      <c r="U14"/>
      <c r="V14"/>
    </row>
    <row r="15" spans="1:22" ht="12.75" x14ac:dyDescent="0.2">
      <c r="Q15"/>
      <c r="R15"/>
      <c r="S15"/>
      <c r="T15"/>
      <c r="U15"/>
      <c r="V15"/>
    </row>
    <row r="16" spans="1:22" ht="12.75" x14ac:dyDescent="0.2">
      <c r="Q16"/>
      <c r="R16"/>
      <c r="S16"/>
      <c r="T16"/>
      <c r="U16"/>
      <c r="V16"/>
    </row>
    <row r="17" spans="17:22" ht="12.75" x14ac:dyDescent="0.2">
      <c r="Q17"/>
      <c r="R17"/>
      <c r="S17"/>
      <c r="T17"/>
      <c r="U17"/>
      <c r="V17"/>
    </row>
    <row r="18" spans="17:22" ht="12.75" x14ac:dyDescent="0.2">
      <c r="Q18"/>
      <c r="R18"/>
      <c r="S18"/>
      <c r="T18"/>
      <c r="U18"/>
      <c r="V18"/>
    </row>
    <row r="19" spans="17:22" ht="12.75" x14ac:dyDescent="0.2">
      <c r="Q19"/>
      <c r="R19"/>
      <c r="S19"/>
      <c r="T19"/>
      <c r="U19"/>
      <c r="V19"/>
    </row>
    <row r="20" spans="17:22" ht="12.75" x14ac:dyDescent="0.2">
      <c r="Q20"/>
      <c r="R20"/>
      <c r="S20"/>
      <c r="T20"/>
      <c r="U20"/>
      <c r="V20"/>
    </row>
    <row r="21" spans="17:22" ht="12.75" x14ac:dyDescent="0.2">
      <c r="Q21"/>
      <c r="R21"/>
      <c r="S21"/>
      <c r="T21"/>
      <c r="U21"/>
      <c r="V21"/>
    </row>
    <row r="22" spans="17:22" ht="12.75" x14ac:dyDescent="0.2">
      <c r="Q22"/>
      <c r="R22"/>
      <c r="S22"/>
      <c r="T22"/>
      <c r="U22"/>
      <c r="V22"/>
    </row>
    <row r="23" spans="17:22" ht="12.75" x14ac:dyDescent="0.2">
      <c r="Q23"/>
      <c r="R23"/>
      <c r="S23"/>
      <c r="T23"/>
      <c r="U23"/>
      <c r="V23"/>
    </row>
    <row r="24" spans="17:22" ht="12.75" x14ac:dyDescent="0.2">
      <c r="Q24"/>
      <c r="R24"/>
      <c r="S24"/>
      <c r="T24"/>
      <c r="U24"/>
      <c r="V24"/>
    </row>
    <row r="25" spans="17:22" ht="12.75" x14ac:dyDescent="0.2">
      <c r="Q25"/>
      <c r="R25"/>
      <c r="S25"/>
      <c r="T25"/>
      <c r="U25"/>
      <c r="V25"/>
    </row>
    <row r="26" spans="17:22" ht="12.75" x14ac:dyDescent="0.2">
      <c r="Q26"/>
      <c r="R26"/>
      <c r="S26"/>
      <c r="T26"/>
      <c r="U26"/>
      <c r="V26"/>
    </row>
    <row r="27" spans="17:22" ht="12.75" x14ac:dyDescent="0.2">
      <c r="Q27"/>
      <c r="R27"/>
      <c r="S27"/>
      <c r="T27"/>
      <c r="U27"/>
      <c r="V27"/>
    </row>
    <row r="28" spans="17:22" ht="12.75" x14ac:dyDescent="0.2">
      <c r="Q28"/>
      <c r="R28"/>
      <c r="S28"/>
      <c r="T28"/>
      <c r="U28"/>
      <c r="V28"/>
    </row>
    <row r="29" spans="17:22" ht="12.75" x14ac:dyDescent="0.2">
      <c r="Q29"/>
      <c r="R29"/>
      <c r="S29"/>
      <c r="T29"/>
      <c r="U29"/>
      <c r="V29"/>
    </row>
    <row r="30" spans="17:22" ht="12.75" x14ac:dyDescent="0.2">
      <c r="Q30"/>
      <c r="R30"/>
      <c r="S30"/>
      <c r="T30"/>
      <c r="U30"/>
      <c r="V30"/>
    </row>
    <row r="31" spans="17:22" ht="12.75" x14ac:dyDescent="0.2">
      <c r="Q31"/>
      <c r="R31"/>
      <c r="S31"/>
      <c r="T31"/>
      <c r="U31"/>
      <c r="V31"/>
    </row>
    <row r="32" spans="17:22" ht="12.75" x14ac:dyDescent="0.2">
      <c r="Q32"/>
      <c r="R32"/>
      <c r="S32"/>
      <c r="T32"/>
      <c r="U32"/>
      <c r="V32"/>
    </row>
    <row r="33" spans="17:22" ht="12.75" x14ac:dyDescent="0.2">
      <c r="Q33"/>
      <c r="R33"/>
      <c r="S33"/>
      <c r="T33"/>
      <c r="U33"/>
      <c r="V33"/>
    </row>
    <row r="34" spans="17:22" ht="12.75" x14ac:dyDescent="0.2">
      <c r="Q34"/>
      <c r="R34"/>
      <c r="S34"/>
      <c r="T34"/>
      <c r="U34"/>
      <c r="V34"/>
    </row>
    <row r="35" spans="17:22" ht="12.75" x14ac:dyDescent="0.2">
      <c r="Q35"/>
      <c r="R35"/>
      <c r="S35"/>
      <c r="T35"/>
      <c r="U35"/>
      <c r="V35"/>
    </row>
    <row r="36" spans="17:22" ht="12.75" x14ac:dyDescent="0.2">
      <c r="Q36"/>
      <c r="R36"/>
      <c r="S36"/>
      <c r="T36"/>
      <c r="U36"/>
      <c r="V36"/>
    </row>
    <row r="37" spans="17:22" ht="12.75" x14ac:dyDescent="0.2">
      <c r="Q37"/>
      <c r="R37"/>
      <c r="S37"/>
      <c r="T37"/>
      <c r="U37"/>
      <c r="V37"/>
    </row>
    <row r="38" spans="17:22" ht="12.75" x14ac:dyDescent="0.2">
      <c r="Q38"/>
      <c r="R38"/>
      <c r="S38"/>
      <c r="T38"/>
      <c r="U38"/>
      <c r="V38"/>
    </row>
    <row r="39" spans="17:22" ht="12.75" x14ac:dyDescent="0.2">
      <c r="Q39"/>
      <c r="R39"/>
      <c r="S39"/>
      <c r="T39"/>
      <c r="U39"/>
      <c r="V39"/>
    </row>
    <row r="40" spans="17:22" ht="12.75" x14ac:dyDescent="0.2">
      <c r="Q40"/>
      <c r="R40"/>
      <c r="S40"/>
      <c r="T40"/>
      <c r="U40"/>
      <c r="V40"/>
    </row>
    <row r="41" spans="17:22" ht="12.75" x14ac:dyDescent="0.2">
      <c r="Q41"/>
      <c r="R41"/>
      <c r="S41"/>
      <c r="T41"/>
      <c r="U41"/>
      <c r="V41"/>
    </row>
    <row r="42" spans="17:22" ht="12.75" x14ac:dyDescent="0.2">
      <c r="Q42"/>
      <c r="R42"/>
      <c r="S42"/>
      <c r="T42"/>
      <c r="U42"/>
      <c r="V42"/>
    </row>
    <row r="43" spans="17:22" ht="12.75" x14ac:dyDescent="0.2">
      <c r="Q43"/>
      <c r="R43"/>
      <c r="S43"/>
      <c r="T43"/>
      <c r="U43"/>
      <c r="V43"/>
    </row>
    <row r="44" spans="17:22" ht="12.75" x14ac:dyDescent="0.2">
      <c r="Q44"/>
      <c r="R44"/>
      <c r="S44"/>
      <c r="T44"/>
      <c r="U44"/>
      <c r="V44"/>
    </row>
    <row r="45" spans="17:22" ht="12.75" x14ac:dyDescent="0.2">
      <c r="Q45"/>
      <c r="R45"/>
      <c r="S45"/>
      <c r="T45"/>
      <c r="U45"/>
      <c r="V45"/>
    </row>
    <row r="46" spans="17:22" ht="12.75" x14ac:dyDescent="0.2">
      <c r="Q46"/>
      <c r="R46"/>
      <c r="S46"/>
      <c r="T46"/>
      <c r="U46"/>
      <c r="V46"/>
    </row>
    <row r="47" spans="17:22" ht="12.75" x14ac:dyDescent="0.2">
      <c r="Q47"/>
      <c r="R47"/>
      <c r="S47"/>
      <c r="T47"/>
      <c r="U47"/>
      <c r="V47"/>
    </row>
    <row r="48" spans="17:22" ht="12.75" x14ac:dyDescent="0.2">
      <c r="Q48"/>
      <c r="R48"/>
      <c r="S48"/>
      <c r="T48"/>
      <c r="U48"/>
      <c r="V48"/>
    </row>
    <row r="49" spans="17:22" ht="12.75" x14ac:dyDescent="0.2">
      <c r="Q49"/>
      <c r="R49"/>
      <c r="S49"/>
      <c r="T49"/>
      <c r="U49"/>
      <c r="V49"/>
    </row>
    <row r="50" spans="17:22" ht="12.75" x14ac:dyDescent="0.2">
      <c r="Q50"/>
      <c r="R50"/>
      <c r="S50"/>
      <c r="T50"/>
      <c r="U50"/>
      <c r="V50"/>
    </row>
    <row r="51" spans="17:22" ht="12.75" x14ac:dyDescent="0.2">
      <c r="Q51"/>
      <c r="R51"/>
      <c r="S51"/>
      <c r="T51"/>
      <c r="U51"/>
      <c r="V51"/>
    </row>
    <row r="52" spans="17:22" ht="12.75" x14ac:dyDescent="0.2">
      <c r="Q52"/>
      <c r="R52"/>
      <c r="S52"/>
      <c r="T52"/>
      <c r="U52"/>
      <c r="V52"/>
    </row>
    <row r="53" spans="17:22" ht="12.75" x14ac:dyDescent="0.2">
      <c r="Q53"/>
      <c r="R53"/>
      <c r="S53"/>
      <c r="T53"/>
      <c r="U53"/>
      <c r="V53"/>
    </row>
    <row r="54" spans="17:22" ht="12.75" x14ac:dyDescent="0.2">
      <c r="Q54"/>
      <c r="R54"/>
      <c r="S54"/>
      <c r="T54"/>
      <c r="U54"/>
      <c r="V54"/>
    </row>
    <row r="55" spans="17:22" ht="12.75" x14ac:dyDescent="0.2">
      <c r="Q55"/>
      <c r="R55"/>
      <c r="S55"/>
      <c r="T55"/>
      <c r="U55"/>
      <c r="V55"/>
    </row>
    <row r="56" spans="17:22" ht="12.75" x14ac:dyDescent="0.2">
      <c r="Q56"/>
      <c r="R56"/>
      <c r="S56"/>
      <c r="T56"/>
      <c r="U56"/>
      <c r="V56"/>
    </row>
    <row r="57" spans="17:22" ht="12.75" x14ac:dyDescent="0.2">
      <c r="Q57"/>
      <c r="R57"/>
      <c r="S57"/>
      <c r="T57"/>
      <c r="U57"/>
      <c r="V57"/>
    </row>
    <row r="58" spans="17:22" ht="12.75" x14ac:dyDescent="0.2">
      <c r="Q58"/>
      <c r="R58"/>
      <c r="S58"/>
      <c r="T58"/>
      <c r="U58"/>
      <c r="V58"/>
    </row>
    <row r="59" spans="17:22" ht="12.75" x14ac:dyDescent="0.2">
      <c r="Q59"/>
      <c r="R59"/>
      <c r="S59"/>
      <c r="T59"/>
      <c r="U59"/>
      <c r="V59"/>
    </row>
    <row r="60" spans="17:22" ht="12.75" x14ac:dyDescent="0.2">
      <c r="Q60"/>
      <c r="R60"/>
      <c r="S60"/>
      <c r="T60"/>
      <c r="U60"/>
      <c r="V60"/>
    </row>
    <row r="61" spans="17:22" ht="12.75" x14ac:dyDescent="0.2">
      <c r="Q61"/>
      <c r="R61"/>
      <c r="S61"/>
      <c r="T61"/>
      <c r="U61"/>
      <c r="V61"/>
    </row>
    <row r="62" spans="17:22" ht="12.75" x14ac:dyDescent="0.2">
      <c r="Q62"/>
      <c r="R62"/>
      <c r="S62"/>
      <c r="T62"/>
      <c r="U62"/>
      <c r="V62"/>
    </row>
    <row r="63" spans="17:22" ht="12.75" x14ac:dyDescent="0.2">
      <c r="Q63"/>
      <c r="R63"/>
      <c r="S63"/>
      <c r="T63"/>
      <c r="U63"/>
      <c r="V63"/>
    </row>
    <row r="64" spans="17:22" ht="12.75" x14ac:dyDescent="0.2">
      <c r="Q64"/>
      <c r="R64"/>
      <c r="S64"/>
      <c r="T64"/>
      <c r="U64"/>
      <c r="V64"/>
    </row>
    <row r="65" spans="13:22" ht="12.75" x14ac:dyDescent="0.2">
      <c r="Q65"/>
      <c r="R65"/>
      <c r="S65"/>
      <c r="T65"/>
      <c r="U65"/>
      <c r="V65"/>
    </row>
    <row r="66" spans="13:22" ht="12.75" x14ac:dyDescent="0.2">
      <c r="Q66"/>
      <c r="R66"/>
      <c r="S66"/>
      <c r="T66"/>
      <c r="U66"/>
      <c r="V66"/>
    </row>
    <row r="67" spans="13:22" ht="12.75" x14ac:dyDescent="0.2">
      <c r="M67"/>
      <c r="N67"/>
      <c r="O67"/>
      <c r="P67"/>
      <c r="Q67"/>
      <c r="R67"/>
      <c r="S67"/>
      <c r="T67"/>
      <c r="U67"/>
      <c r="V67"/>
    </row>
    <row r="68" spans="13:22" ht="12.75" x14ac:dyDescent="0.2">
      <c r="M68"/>
      <c r="N68"/>
      <c r="O68"/>
      <c r="P68"/>
      <c r="Q68"/>
      <c r="R68"/>
      <c r="S68"/>
      <c r="T68"/>
      <c r="U68"/>
      <c r="V68"/>
    </row>
    <row r="69" spans="13:22" ht="12.75" x14ac:dyDescent="0.2">
      <c r="M69"/>
      <c r="N69"/>
      <c r="O69"/>
      <c r="P69"/>
      <c r="Q69"/>
      <c r="R69"/>
      <c r="S69"/>
      <c r="T69"/>
      <c r="U69"/>
      <c r="V69"/>
    </row>
    <row r="70" spans="13:22" ht="12.75" x14ac:dyDescent="0.2">
      <c r="M70"/>
      <c r="N70"/>
      <c r="O70"/>
      <c r="P70"/>
      <c r="Q70"/>
      <c r="R70"/>
      <c r="S70"/>
      <c r="T70"/>
      <c r="U70"/>
      <c r="V70"/>
    </row>
    <row r="71" spans="13:22" ht="12.75" x14ac:dyDescent="0.2">
      <c r="M71"/>
      <c r="N71"/>
      <c r="O71"/>
      <c r="P71"/>
      <c r="Q71"/>
      <c r="R71"/>
      <c r="S71"/>
      <c r="T71"/>
      <c r="U71"/>
      <c r="V71"/>
    </row>
    <row r="72" spans="13:22" ht="12.75" x14ac:dyDescent="0.2">
      <c r="M72"/>
      <c r="N72"/>
      <c r="O72"/>
      <c r="P72"/>
      <c r="Q72"/>
      <c r="R72"/>
      <c r="S72"/>
      <c r="T72"/>
      <c r="U72"/>
      <c r="V72"/>
    </row>
    <row r="73" spans="13:22" ht="12.75" x14ac:dyDescent="0.2">
      <c r="M73"/>
      <c r="N73"/>
      <c r="O73"/>
      <c r="P73"/>
      <c r="Q73"/>
      <c r="R73"/>
      <c r="S73"/>
      <c r="T73"/>
      <c r="U73"/>
    </row>
    <row r="74" spans="13:22" ht="12.75" x14ac:dyDescent="0.2">
      <c r="M74"/>
      <c r="N74"/>
      <c r="O74"/>
      <c r="P74"/>
      <c r="Q74"/>
      <c r="R74"/>
      <c r="S74"/>
      <c r="T74"/>
      <c r="U74"/>
    </row>
    <row r="75" spans="13:22" ht="12.75" x14ac:dyDescent="0.2">
      <c r="M75"/>
      <c r="N75"/>
      <c r="O75"/>
      <c r="P75"/>
      <c r="Q75"/>
      <c r="R75"/>
      <c r="S75"/>
      <c r="T75"/>
      <c r="U75"/>
    </row>
    <row r="76" spans="13:22" ht="12.75" x14ac:dyDescent="0.2">
      <c r="M76"/>
      <c r="N76"/>
      <c r="O76"/>
      <c r="P76"/>
      <c r="Q76"/>
      <c r="R76"/>
      <c r="S76"/>
      <c r="T76"/>
      <c r="U76"/>
    </row>
    <row r="77" spans="13:22" ht="12.75" x14ac:dyDescent="0.2">
      <c r="M77"/>
      <c r="N77"/>
      <c r="O77"/>
      <c r="P77"/>
      <c r="Q77"/>
      <c r="R77"/>
      <c r="S77"/>
      <c r="T77"/>
      <c r="U77"/>
    </row>
    <row r="78" spans="13:22" ht="12.75" x14ac:dyDescent="0.2">
      <c r="M78"/>
      <c r="N78"/>
      <c r="O78"/>
      <c r="P78"/>
      <c r="Q78"/>
      <c r="R78"/>
      <c r="S78"/>
      <c r="T78"/>
      <c r="U78"/>
    </row>
    <row r="79" spans="13:22" ht="12.75" x14ac:dyDescent="0.2">
      <c r="M79"/>
      <c r="N79"/>
      <c r="O79"/>
      <c r="P79"/>
      <c r="Q79"/>
      <c r="R79"/>
      <c r="S79"/>
      <c r="T79"/>
      <c r="U79"/>
    </row>
  </sheetData>
  <sheetProtection selectLockedCells="1" selectUnlockedCells="1"/>
  <mergeCells count="6">
    <mergeCell ref="A3:M3"/>
    <mergeCell ref="N3:O3"/>
    <mergeCell ref="A1:M1"/>
    <mergeCell ref="N1:O1"/>
    <mergeCell ref="A2:M2"/>
    <mergeCell ref="N2:O2"/>
  </mergeCells>
  <phoneticPr fontId="17" type="noConversion"/>
  <printOptions horizontalCentered="1"/>
  <pageMargins left="1.1812499999999999" right="0.59027777777777779" top="1.1812499999999999" bottom="0.59027777777777779" header="0.51180555555555551" footer="0.51180555555555551"/>
  <pageSetup paperSize="9" scale="88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Q48"/>
  <sheetViews>
    <sheetView topLeftCell="A2" zoomScale="70" zoomScaleNormal="70" zoomScaleSheetLayoutView="110" workbookViewId="0">
      <selection activeCell="A3" sqref="A3:O42"/>
    </sheetView>
  </sheetViews>
  <sheetFormatPr defaultColWidth="11.42578125" defaultRowHeight="11.25" x14ac:dyDescent="0.2"/>
  <cols>
    <col min="1" max="1" width="3.42578125" style="1" customWidth="1"/>
    <col min="2" max="2" width="5" style="1" customWidth="1"/>
    <col min="3" max="3" width="7.5703125" style="1" customWidth="1"/>
    <col min="4" max="4" width="3.42578125" style="1" customWidth="1"/>
    <col min="5" max="5" width="5.140625" style="1" customWidth="1"/>
    <col min="6" max="7" width="5" style="1" customWidth="1"/>
    <col min="8" max="8" width="1.85546875" style="1" customWidth="1"/>
    <col min="9" max="9" width="8.140625" style="1" customWidth="1"/>
    <col min="10" max="10" width="7.42578125" style="1" customWidth="1"/>
    <col min="11" max="11" width="7.140625" style="1" customWidth="1"/>
    <col min="12" max="12" width="5.85546875" style="1" customWidth="1"/>
    <col min="13" max="13" width="7.140625" style="1" customWidth="1"/>
    <col min="14" max="14" width="3.140625" style="1" customWidth="1"/>
    <col min="15" max="15" width="12.42578125" style="1" customWidth="1"/>
    <col min="16" max="16" width="13.85546875" style="1" bestFit="1" customWidth="1"/>
    <col min="17" max="17" width="12.85546875" style="1" bestFit="1" customWidth="1"/>
    <col min="18" max="16384" width="11.42578125" style="1"/>
  </cols>
  <sheetData>
    <row r="2" spans="1:15" ht="28.5" customHeight="1" x14ac:dyDescent="0.2"/>
    <row r="3" spans="1:15" ht="15" customHeight="1" x14ac:dyDescent="0.2">
      <c r="A3" s="294" t="s">
        <v>3</v>
      </c>
      <c r="B3" s="294"/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4"/>
      <c r="N3" s="295" t="s">
        <v>4</v>
      </c>
      <c r="O3" s="295"/>
    </row>
    <row r="4" spans="1:15" ht="15" customHeight="1" x14ac:dyDescent="0.25">
      <c r="A4" s="294"/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6" t="s">
        <v>5</v>
      </c>
      <c r="O4" s="296"/>
    </row>
    <row r="5" spans="1:15" ht="15" customHeight="1" x14ac:dyDescent="0.2">
      <c r="A5" s="297" t="s">
        <v>6</v>
      </c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</row>
    <row r="6" spans="1:15" ht="15" customHeight="1" x14ac:dyDescent="0.2">
      <c r="A6" s="298" t="s">
        <v>7</v>
      </c>
      <c r="B6" s="298"/>
      <c r="C6" s="298"/>
      <c r="D6" s="298"/>
      <c r="E6" s="298"/>
      <c r="F6" s="298"/>
      <c r="G6" s="298"/>
      <c r="H6" s="298"/>
      <c r="I6" s="298"/>
      <c r="J6" s="298"/>
      <c r="K6" s="298"/>
      <c r="L6" s="298"/>
      <c r="M6" s="298"/>
      <c r="N6" s="298"/>
      <c r="O6" s="298"/>
    </row>
    <row r="7" spans="1:15" ht="12.6" customHeight="1" x14ac:dyDescent="0.2">
      <c r="A7" s="299" t="s">
        <v>8</v>
      </c>
      <c r="B7" s="299"/>
      <c r="C7" s="299"/>
      <c r="D7" s="299"/>
      <c r="E7" s="299" t="s">
        <v>9</v>
      </c>
      <c r="F7" s="299"/>
      <c r="G7" s="299"/>
      <c r="H7" s="299"/>
      <c r="I7" s="299"/>
      <c r="J7" s="299"/>
      <c r="K7" s="299"/>
      <c r="L7" s="299"/>
      <c r="M7" s="299"/>
      <c r="N7" s="299" t="s">
        <v>10</v>
      </c>
      <c r="O7" s="299"/>
    </row>
    <row r="8" spans="1:15" ht="12.6" customHeight="1" x14ac:dyDescent="0.2">
      <c r="A8" s="300" t="s">
        <v>11</v>
      </c>
      <c r="B8" s="300"/>
      <c r="C8" s="300"/>
      <c r="D8" s="300"/>
      <c r="E8" s="300" t="s">
        <v>12</v>
      </c>
      <c r="F8" s="300"/>
      <c r="G8" s="300"/>
      <c r="H8" s="300"/>
      <c r="I8" s="300"/>
      <c r="J8" s="300"/>
      <c r="K8" s="300"/>
      <c r="L8" s="300"/>
      <c r="M8" s="300"/>
      <c r="N8" s="301" t="s">
        <v>13</v>
      </c>
      <c r="O8" s="301"/>
    </row>
    <row r="9" spans="1:15" s="7" customFormat="1" ht="15" customHeight="1" x14ac:dyDescent="0.25">
      <c r="A9" s="293" t="s">
        <v>14</v>
      </c>
      <c r="B9" s="293"/>
      <c r="C9" s="293"/>
      <c r="D9" s="293"/>
      <c r="E9" s="293"/>
      <c r="F9" s="293"/>
      <c r="G9" s="293"/>
      <c r="H9" s="293"/>
      <c r="I9" s="293"/>
      <c r="J9" s="293"/>
      <c r="K9" s="293"/>
      <c r="L9" s="293"/>
      <c r="M9" s="293"/>
      <c r="N9" s="293"/>
      <c r="O9" s="293"/>
    </row>
    <row r="10" spans="1:15" ht="15" customHeight="1" x14ac:dyDescent="0.2">
      <c r="A10" s="292" t="s">
        <v>15</v>
      </c>
      <c r="B10" s="292"/>
      <c r="C10" s="292"/>
      <c r="D10" s="292"/>
      <c r="E10" s="292"/>
      <c r="F10" s="292"/>
      <c r="G10" s="292"/>
      <c r="H10" s="292"/>
      <c r="I10" s="292"/>
      <c r="J10" s="292"/>
      <c r="K10" s="292"/>
      <c r="L10" s="292"/>
      <c r="M10" s="292"/>
      <c r="N10" s="292"/>
      <c r="O10" s="292"/>
    </row>
    <row r="11" spans="1:15" ht="15" customHeight="1" x14ac:dyDescent="0.2">
      <c r="A11" s="281" t="s">
        <v>16</v>
      </c>
      <c r="B11" s="281"/>
      <c r="C11" s="281"/>
      <c r="D11" s="281"/>
      <c r="E11" s="281"/>
      <c r="F11" s="281"/>
      <c r="G11" s="281"/>
      <c r="H11" s="281"/>
      <c r="I11" s="281"/>
      <c r="J11" s="281"/>
      <c r="K11" s="281"/>
      <c r="L11" s="281"/>
      <c r="M11" s="281"/>
      <c r="N11" s="290">
        <v>2063.6</v>
      </c>
      <c r="O11" s="290"/>
    </row>
    <row r="12" spans="1:15" ht="15" customHeight="1" x14ac:dyDescent="0.2">
      <c r="A12" s="281" t="s">
        <v>17</v>
      </c>
      <c r="B12" s="281"/>
      <c r="C12" s="281"/>
      <c r="D12" s="281"/>
      <c r="E12" s="281"/>
      <c r="F12" s="281"/>
      <c r="G12" s="281"/>
      <c r="H12" s="281"/>
      <c r="I12" s="281"/>
      <c r="J12" s="281"/>
      <c r="K12" s="281"/>
      <c r="L12" s="281"/>
      <c r="M12" s="281"/>
      <c r="N12" s="282">
        <v>1758.5</v>
      </c>
      <c r="O12" s="282"/>
    </row>
    <row r="13" spans="1:15" ht="15" customHeight="1" x14ac:dyDescent="0.2">
      <c r="A13" s="287" t="s">
        <v>18</v>
      </c>
      <c r="B13" s="287"/>
      <c r="C13" s="287"/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288">
        <f>N11+N12</f>
        <v>3822.1</v>
      </c>
      <c r="O13" s="288"/>
    </row>
    <row r="14" spans="1:15" ht="15" customHeight="1" x14ac:dyDescent="0.2">
      <c r="A14" s="292" t="s">
        <v>19</v>
      </c>
      <c r="B14" s="292"/>
      <c r="C14" s="292"/>
      <c r="D14" s="292"/>
      <c r="E14" s="292"/>
      <c r="F14" s="292"/>
      <c r="G14" s="292"/>
      <c r="H14" s="292"/>
      <c r="I14" s="292"/>
      <c r="J14" s="292"/>
      <c r="K14" s="292"/>
      <c r="L14" s="292"/>
      <c r="M14" s="292"/>
      <c r="N14" s="292"/>
      <c r="O14" s="292"/>
    </row>
    <row r="15" spans="1:15" ht="15" customHeight="1" x14ac:dyDescent="0.2">
      <c r="A15" s="281" t="s">
        <v>20</v>
      </c>
      <c r="B15" s="281"/>
      <c r="C15" s="281"/>
      <c r="D15" s="281"/>
      <c r="E15" s="281"/>
      <c r="F15" s="281"/>
      <c r="G15" s="281"/>
      <c r="H15" s="281"/>
      <c r="I15" s="281"/>
      <c r="J15" s="281"/>
      <c r="K15" s="281"/>
      <c r="L15" s="281"/>
      <c r="M15" s="281"/>
      <c r="N15" s="290">
        <f>'FSUP-I EQUIPE TÉCNICA'!L30</f>
        <v>1631988.31</v>
      </c>
      <c r="O15" s="290"/>
    </row>
    <row r="16" spans="1:15" ht="15" customHeight="1" x14ac:dyDescent="0.2">
      <c r="A16" s="281" t="s">
        <v>21</v>
      </c>
      <c r="B16" s="281"/>
      <c r="C16" s="281"/>
      <c r="D16" s="281"/>
      <c r="E16" s="281"/>
      <c r="F16" s="281"/>
      <c r="G16" s="281"/>
      <c r="H16" s="281"/>
      <c r="I16" s="281"/>
      <c r="J16" s="281"/>
      <c r="K16" s="281"/>
      <c r="L16" s="281"/>
      <c r="M16" s="281"/>
      <c r="N16" s="290">
        <f>'FSUP-I EQUIPE TÉCNICA'!M30</f>
        <v>4277558.6436000001</v>
      </c>
      <c r="O16" s="290"/>
    </row>
    <row r="17" spans="1:16" ht="15" customHeight="1" x14ac:dyDescent="0.2">
      <c r="A17" s="287" t="s">
        <v>22</v>
      </c>
      <c r="B17" s="287"/>
      <c r="C17" s="287"/>
      <c r="D17" s="287"/>
      <c r="E17" s="287"/>
      <c r="F17" s="287"/>
      <c r="G17" s="287"/>
      <c r="H17" s="287"/>
      <c r="I17" s="287"/>
      <c r="J17" s="287"/>
      <c r="K17" s="287"/>
      <c r="L17" s="287"/>
      <c r="M17" s="287"/>
      <c r="N17" s="289">
        <f>SUM(N15:O16)</f>
        <v>5909546.9536000006</v>
      </c>
      <c r="O17" s="289"/>
    </row>
    <row r="18" spans="1:16" ht="15" customHeight="1" x14ac:dyDescent="0.2">
      <c r="A18" s="281" t="str">
        <f>CONCATENATE("C1 - ENCARGOS SOCIAIS DE B1 = ", 100*'FSUP-VII Det. Enc. Sociais'!F49,"%DO B1")</f>
        <v>C1 - ENCARGOS SOCIAIS DE B1 = 69,27%DO B1</v>
      </c>
      <c r="B18" s="281"/>
      <c r="C18" s="281"/>
      <c r="D18" s="281"/>
      <c r="E18" s="281"/>
      <c r="F18" s="281"/>
      <c r="G18" s="281"/>
      <c r="H18" s="281"/>
      <c r="I18" s="281"/>
      <c r="J18" s="281"/>
      <c r="K18" s="281"/>
      <c r="L18" s="281"/>
      <c r="M18" s="281"/>
      <c r="N18" s="290">
        <f>ROUND((N15*'FSUP-VII Det. Enc. Sociais'!F49),2)</f>
        <v>1130478.3</v>
      </c>
      <c r="O18" s="290"/>
      <c r="P18" s="8"/>
    </row>
    <row r="19" spans="1:16" ht="15" customHeight="1" x14ac:dyDescent="0.2">
      <c r="A19" s="281" t="s">
        <v>23</v>
      </c>
      <c r="B19" s="281"/>
      <c r="C19" s="281"/>
      <c r="D19" s="281"/>
      <c r="E19" s="281"/>
      <c r="F19" s="281"/>
      <c r="G19" s="281"/>
      <c r="H19" s="281"/>
      <c r="I19" s="281"/>
      <c r="J19" s="281"/>
      <c r="K19" s="281"/>
      <c r="L19" s="281"/>
      <c r="M19" s="281"/>
      <c r="N19" s="290">
        <f>ROUND(N16*0.2,2)</f>
        <v>855511.73</v>
      </c>
      <c r="O19" s="290"/>
    </row>
    <row r="20" spans="1:16" ht="15" customHeight="1" x14ac:dyDescent="0.2">
      <c r="A20" s="287" t="s">
        <v>24</v>
      </c>
      <c r="B20" s="287"/>
      <c r="C20" s="287"/>
      <c r="D20" s="287"/>
      <c r="E20" s="287"/>
      <c r="F20" s="287"/>
      <c r="G20" s="287"/>
      <c r="H20" s="287"/>
      <c r="I20" s="287"/>
      <c r="J20" s="287"/>
      <c r="K20" s="287"/>
      <c r="L20" s="287"/>
      <c r="M20" s="287"/>
      <c r="N20" s="289">
        <f>SUM(N18:O19)</f>
        <v>1985990.03</v>
      </c>
      <c r="O20" s="289"/>
    </row>
    <row r="21" spans="1:16" ht="15" customHeight="1" x14ac:dyDescent="0.2">
      <c r="A21" s="281" t="s">
        <v>25</v>
      </c>
      <c r="B21" s="281"/>
      <c r="C21" s="281"/>
      <c r="D21" s="281"/>
      <c r="E21" s="281"/>
      <c r="F21" s="281"/>
      <c r="G21" s="281"/>
      <c r="H21" s="281"/>
      <c r="I21" s="281"/>
      <c r="J21" s="281"/>
      <c r="K21" s="281"/>
      <c r="L21" s="281"/>
      <c r="M21" s="281"/>
      <c r="N21" s="290">
        <f>'FSUP-II VIAGENS'!H13</f>
        <v>168800</v>
      </c>
      <c r="O21" s="290"/>
    </row>
    <row r="22" spans="1:16" ht="15" customHeight="1" x14ac:dyDescent="0.2">
      <c r="A22" s="281" t="s">
        <v>26</v>
      </c>
      <c r="B22" s="281"/>
      <c r="C22" s="281"/>
      <c r="D22" s="281"/>
      <c r="E22" s="281"/>
      <c r="F22" s="281"/>
      <c r="G22" s="281"/>
      <c r="H22" s="281"/>
      <c r="I22" s="281"/>
      <c r="J22" s="281"/>
      <c r="K22" s="281"/>
      <c r="L22" s="281"/>
      <c r="M22" s="281"/>
      <c r="N22" s="290">
        <f>'FSUP-II VIAGENS'!M13</f>
        <v>267388.88</v>
      </c>
      <c r="O22" s="290"/>
    </row>
    <row r="23" spans="1:16" ht="15" customHeight="1" x14ac:dyDescent="0.2">
      <c r="A23" s="287" t="s">
        <v>27</v>
      </c>
      <c r="B23" s="287"/>
      <c r="C23" s="287"/>
      <c r="D23" s="287"/>
      <c r="E23" s="287"/>
      <c r="F23" s="287"/>
      <c r="G23" s="287"/>
      <c r="H23" s="287"/>
      <c r="I23" s="287"/>
      <c r="J23" s="287"/>
      <c r="K23" s="287"/>
      <c r="L23" s="287"/>
      <c r="M23" s="287"/>
      <c r="N23" s="289">
        <f>SUM(N21:O22)</f>
        <v>436188.88</v>
      </c>
      <c r="O23" s="289"/>
    </row>
    <row r="24" spans="1:16" ht="15" customHeight="1" x14ac:dyDescent="0.2">
      <c r="A24" s="291"/>
      <c r="B24" s="291"/>
      <c r="C24" s="291"/>
      <c r="D24" s="291"/>
      <c r="E24" s="291"/>
      <c r="F24" s="291"/>
      <c r="G24" s="291"/>
      <c r="H24" s="291"/>
      <c r="I24" s="291"/>
      <c r="J24" s="291"/>
      <c r="K24" s="291"/>
      <c r="L24" s="291"/>
      <c r="M24" s="291"/>
      <c r="N24" s="291"/>
      <c r="O24" s="291"/>
    </row>
    <row r="25" spans="1:16" ht="15" customHeight="1" x14ac:dyDescent="0.2">
      <c r="A25" s="292" t="s">
        <v>28</v>
      </c>
      <c r="B25" s="292"/>
      <c r="C25" s="292"/>
      <c r="D25" s="292"/>
      <c r="E25" s="292"/>
      <c r="F25" s="292"/>
      <c r="G25" s="292"/>
      <c r="H25" s="292"/>
      <c r="I25" s="292"/>
      <c r="J25" s="292"/>
      <c r="K25" s="292"/>
      <c r="L25" s="292"/>
      <c r="M25" s="292"/>
      <c r="N25" s="292"/>
      <c r="O25" s="292"/>
    </row>
    <row r="26" spans="1:16" ht="15" customHeight="1" x14ac:dyDescent="0.2">
      <c r="A26" s="281" t="s">
        <v>29</v>
      </c>
      <c r="B26" s="281"/>
      <c r="C26" s="281"/>
      <c r="D26" s="281"/>
      <c r="E26" s="281"/>
      <c r="F26" s="281"/>
      <c r="G26" s="281"/>
      <c r="H26" s="281"/>
      <c r="I26" s="281"/>
      <c r="J26" s="281"/>
      <c r="K26" s="281"/>
      <c r="L26" s="281"/>
      <c r="M26" s="281"/>
      <c r="N26" s="290">
        <f>'FSUP-III Manutenção Operac'!I15</f>
        <v>1497211.76</v>
      </c>
      <c r="O26" s="290"/>
    </row>
    <row r="27" spans="1:16" ht="15" customHeight="1" x14ac:dyDescent="0.2">
      <c r="A27" s="281" t="s">
        <v>30</v>
      </c>
      <c r="B27" s="281"/>
      <c r="C27" s="281"/>
      <c r="D27" s="281"/>
      <c r="E27" s="281"/>
      <c r="F27" s="281"/>
      <c r="G27" s="281"/>
      <c r="H27" s="281"/>
      <c r="I27" s="281"/>
      <c r="J27" s="281"/>
      <c r="K27" s="281"/>
      <c r="L27" s="281"/>
      <c r="M27" s="281"/>
      <c r="N27" s="282">
        <f>'FSUP-III Manutenção Operac'!I25</f>
        <v>93524.400000000009</v>
      </c>
      <c r="O27" s="282"/>
    </row>
    <row r="28" spans="1:16" ht="15" customHeight="1" x14ac:dyDescent="0.2">
      <c r="A28" s="281" t="s">
        <v>31</v>
      </c>
      <c r="B28" s="281"/>
      <c r="C28" s="281"/>
      <c r="D28" s="281"/>
      <c r="E28" s="281"/>
      <c r="F28" s="281"/>
      <c r="G28" s="281"/>
      <c r="H28" s="281"/>
      <c r="I28" s="281"/>
      <c r="J28" s="281"/>
      <c r="K28" s="281"/>
      <c r="L28" s="281"/>
      <c r="M28" s="281"/>
      <c r="N28" s="282">
        <f>'FSUP-III Manutenção Operac'!I31</f>
        <v>474955</v>
      </c>
      <c r="O28" s="282"/>
    </row>
    <row r="29" spans="1:16" ht="15" customHeight="1" x14ac:dyDescent="0.2">
      <c r="A29" s="281" t="s">
        <v>32</v>
      </c>
      <c r="B29" s="281"/>
      <c r="C29" s="281"/>
      <c r="D29" s="281"/>
      <c r="E29" s="281"/>
      <c r="F29" s="281"/>
      <c r="G29" s="281"/>
      <c r="H29" s="281"/>
      <c r="I29" s="281"/>
      <c r="J29" s="281"/>
      <c r="K29" s="281"/>
      <c r="L29" s="281"/>
      <c r="M29" s="281"/>
      <c r="N29" s="282">
        <f>'FSUP-III Manutenção Operac'!I37</f>
        <v>57561</v>
      </c>
      <c r="O29" s="282"/>
    </row>
    <row r="30" spans="1:16" ht="15" customHeight="1" x14ac:dyDescent="0.2">
      <c r="A30" s="281" t="s">
        <v>33</v>
      </c>
      <c r="B30" s="281"/>
      <c r="C30" s="281"/>
      <c r="D30" s="281"/>
      <c r="E30" s="281"/>
      <c r="F30" s="281"/>
      <c r="G30" s="281"/>
      <c r="H30" s="281"/>
      <c r="I30" s="281"/>
      <c r="J30" s="281"/>
      <c r="K30" s="281"/>
      <c r="L30" s="281"/>
      <c r="M30" s="281"/>
      <c r="N30" s="282">
        <f>'FSUP-III Manutenção Operac'!I40</f>
        <v>60003.9</v>
      </c>
      <c r="O30" s="282"/>
    </row>
    <row r="31" spans="1:16" ht="15" customHeight="1" x14ac:dyDescent="0.2">
      <c r="A31" s="286"/>
      <c r="B31" s="286"/>
      <c r="C31" s="286"/>
      <c r="D31" s="286"/>
      <c r="E31" s="286"/>
      <c r="F31" s="286"/>
      <c r="G31" s="286"/>
      <c r="H31" s="286"/>
      <c r="I31" s="286"/>
      <c r="J31" s="286"/>
      <c r="K31" s="286"/>
      <c r="L31" s="286"/>
      <c r="M31" s="286"/>
      <c r="N31" s="282"/>
      <c r="O31" s="282"/>
    </row>
    <row r="32" spans="1:16" ht="15" customHeight="1" x14ac:dyDescent="0.2">
      <c r="A32" s="287" t="s">
        <v>34</v>
      </c>
      <c r="B32" s="287"/>
      <c r="C32" s="287"/>
      <c r="D32" s="287"/>
      <c r="E32" s="287"/>
      <c r="F32" s="287"/>
      <c r="G32" s="287"/>
      <c r="H32" s="287"/>
      <c r="I32" s="287"/>
      <c r="J32" s="287"/>
      <c r="K32" s="287"/>
      <c r="L32" s="287"/>
      <c r="M32" s="287"/>
      <c r="N32" s="288">
        <f>SUM(N26:O31)</f>
        <v>2183256.06</v>
      </c>
      <c r="O32" s="288"/>
    </row>
    <row r="33" spans="1:17" ht="15" customHeight="1" x14ac:dyDescent="0.2">
      <c r="A33" s="285" t="s">
        <v>0</v>
      </c>
      <c r="B33" s="285"/>
      <c r="C33" s="285"/>
      <c r="D33" s="285"/>
      <c r="E33" s="285"/>
      <c r="F33" s="285"/>
      <c r="G33" s="285"/>
      <c r="H33" s="285"/>
      <c r="I33" s="285"/>
      <c r="J33" s="285"/>
      <c r="K33" s="285"/>
      <c r="L33" s="285"/>
      <c r="M33" s="285"/>
      <c r="N33" s="270">
        <f>SUM(N13+N17+N20+N23+N32)</f>
        <v>10518804.023600001</v>
      </c>
      <c r="O33" s="270"/>
    </row>
    <row r="34" spans="1:17" ht="15" customHeight="1" x14ac:dyDescent="0.2">
      <c r="A34" s="281" t="str">
        <f>CONCATENATE("F - CUSTOS DE ADMINISTRAÇÃO = ",'FSUP-V Det. custos Adm.'!F17,"% DO B")</f>
        <v>F - CUSTOS DE ADMINISTRAÇÃO = 8% DO B</v>
      </c>
      <c r="B34" s="281"/>
      <c r="C34" s="281"/>
      <c r="D34" s="281"/>
      <c r="E34" s="281"/>
      <c r="F34" s="281"/>
      <c r="G34" s="281"/>
      <c r="H34" s="281"/>
      <c r="I34" s="281"/>
      <c r="J34" s="281"/>
      <c r="K34" s="281"/>
      <c r="L34" s="281"/>
      <c r="M34" s="281"/>
      <c r="N34" s="282">
        <f>ROUND(N17*'FSUP-V Det. custos Adm.'!$F$17/100,2)</f>
        <v>472763.76</v>
      </c>
      <c r="O34" s="282"/>
    </row>
    <row r="35" spans="1:17" ht="15" customHeight="1" x14ac:dyDescent="0.2">
      <c r="A35" s="281" t="s">
        <v>35</v>
      </c>
      <c r="B35" s="281"/>
      <c r="C35" s="281"/>
      <c r="D35" s="281"/>
      <c r="E35" s="281"/>
      <c r="F35" s="281"/>
      <c r="G35" s="281"/>
      <c r="H35" s="281"/>
      <c r="I35" s="281"/>
      <c r="J35" s="281"/>
      <c r="K35" s="281"/>
      <c r="L35" s="281"/>
      <c r="M35" s="281"/>
      <c r="N35" s="282">
        <f>ROUND(0.1*(N13+N17+N20+N23+N32+N34),2)</f>
        <v>1099156.78</v>
      </c>
      <c r="O35" s="282"/>
      <c r="P35" s="65"/>
    </row>
    <row r="36" spans="1:17" ht="15" customHeight="1" x14ac:dyDescent="0.2">
      <c r="A36" s="283" t="str">
        <f>CONCATENATE("H - DESPESAS FISCAIS = (",'FSUP-VI Det. Desp Fiscais'!G29,"% DE (A + B + C + D + E + F + G)")</f>
        <v>H - DESPESAS FISCAIS = (13,31% DE (A + B + C + D + E + F + G)</v>
      </c>
      <c r="B36" s="283"/>
      <c r="C36" s="283"/>
      <c r="D36" s="283"/>
      <c r="E36" s="283"/>
      <c r="F36" s="283"/>
      <c r="G36" s="283"/>
      <c r="H36" s="283"/>
      <c r="I36" s="283"/>
      <c r="J36" s="283"/>
      <c r="K36" s="283"/>
      <c r="L36" s="283"/>
      <c r="M36" s="283"/>
      <c r="N36" s="282">
        <f>ROUND('FSUP-VI Det. Desp Fiscais'!$G$29/100*(N13+N17+N20+N23+N32+N34+N35),2)</f>
        <v>1609275.44</v>
      </c>
      <c r="O36" s="282"/>
      <c r="P36" s="65"/>
    </row>
    <row r="37" spans="1:17" ht="15" customHeight="1" x14ac:dyDescent="0.2">
      <c r="A37" s="285" t="s">
        <v>1</v>
      </c>
      <c r="B37" s="285"/>
      <c r="C37" s="285"/>
      <c r="D37" s="285"/>
      <c r="E37" s="285"/>
      <c r="F37" s="285"/>
      <c r="G37" s="285"/>
      <c r="H37" s="285"/>
      <c r="I37" s="285"/>
      <c r="J37" s="285"/>
      <c r="K37" s="285"/>
      <c r="L37" s="285"/>
      <c r="M37" s="285"/>
      <c r="N37" s="270">
        <f>SUM(N34:O36)</f>
        <v>3181195.98</v>
      </c>
      <c r="O37" s="270"/>
      <c r="P37" s="263">
        <f>N38-N37</f>
        <v>10518804.023600001</v>
      </c>
    </row>
    <row r="38" spans="1:17" ht="15" customHeight="1" x14ac:dyDescent="0.25">
      <c r="A38" s="284" t="s">
        <v>2</v>
      </c>
      <c r="B38" s="284"/>
      <c r="C38" s="284"/>
      <c r="D38" s="284"/>
      <c r="E38" s="284"/>
      <c r="F38" s="284"/>
      <c r="G38" s="284"/>
      <c r="H38" s="284"/>
      <c r="I38" s="284"/>
      <c r="J38" s="284"/>
      <c r="K38" s="284"/>
      <c r="L38" s="284"/>
      <c r="M38" s="284"/>
      <c r="N38" s="270">
        <f>N33+N37</f>
        <v>13700000.003600001</v>
      </c>
      <c r="O38" s="270"/>
      <c r="P38" s="262">
        <f>+P37+N37</f>
        <v>13700000.003600001</v>
      </c>
      <c r="Q38" s="264">
        <f>+N37/P37</f>
        <v>0.30242943711686854</v>
      </c>
    </row>
    <row r="39" spans="1:17" ht="12.6" customHeight="1" x14ac:dyDescent="0.2">
      <c r="A39" s="274" t="s">
        <v>36</v>
      </c>
      <c r="B39" s="274"/>
      <c r="C39" s="274"/>
      <c r="D39" s="274"/>
      <c r="E39" s="274"/>
      <c r="F39" s="274"/>
      <c r="G39" s="274"/>
      <c r="H39" s="274"/>
      <c r="I39" s="274"/>
      <c r="J39" s="274" t="s">
        <v>37</v>
      </c>
      <c r="K39" s="274"/>
      <c r="L39" s="274"/>
      <c r="M39" s="274"/>
      <c r="N39" s="274"/>
      <c r="O39" s="274"/>
      <c r="P39" s="66"/>
    </row>
    <row r="40" spans="1:17" ht="12.6" customHeight="1" x14ac:dyDescent="0.2">
      <c r="A40" s="280" t="s">
        <v>38</v>
      </c>
      <c r="B40" s="280"/>
      <c r="C40" s="280"/>
      <c r="D40" s="280"/>
      <c r="E40" s="280"/>
      <c r="F40" s="280"/>
      <c r="G40" s="280"/>
      <c r="H40" s="280"/>
      <c r="I40" s="280"/>
      <c r="J40" s="280" t="s">
        <v>39</v>
      </c>
      <c r="K40" s="280"/>
      <c r="L40" s="280"/>
      <c r="M40" s="280"/>
      <c r="N40" s="280"/>
      <c r="O40" s="280"/>
      <c r="P40" s="65"/>
    </row>
    <row r="41" spans="1:17" ht="12.6" customHeight="1" x14ac:dyDescent="0.2">
      <c r="A41" s="274" t="s">
        <v>40</v>
      </c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 t="s">
        <v>41</v>
      </c>
      <c r="O41" s="274"/>
      <c r="P41" s="65"/>
    </row>
    <row r="42" spans="1:17" ht="31.5" customHeight="1" x14ac:dyDescent="0.2">
      <c r="A42" s="275"/>
      <c r="B42" s="275"/>
      <c r="C42" s="275"/>
      <c r="D42" s="275"/>
      <c r="E42" s="275"/>
      <c r="F42" s="275"/>
      <c r="G42" s="275"/>
      <c r="H42" s="275"/>
      <c r="I42" s="275"/>
      <c r="J42" s="275"/>
      <c r="K42" s="275"/>
      <c r="L42" s="275"/>
      <c r="M42" s="275"/>
      <c r="N42" s="276">
        <v>45281</v>
      </c>
      <c r="O42" s="277"/>
      <c r="P42" s="65"/>
    </row>
    <row r="43" spans="1:17" ht="12" customHeight="1" x14ac:dyDescent="0.2">
      <c r="A43" s="274" t="s">
        <v>42</v>
      </c>
      <c r="B43" s="274"/>
      <c r="C43" s="274"/>
      <c r="D43" s="274"/>
      <c r="E43" s="274"/>
      <c r="F43" s="274"/>
      <c r="G43" s="274"/>
      <c r="H43" s="274"/>
      <c r="I43" s="274"/>
      <c r="J43" s="274"/>
      <c r="K43" s="274"/>
      <c r="L43" s="274"/>
      <c r="M43" s="274"/>
      <c r="N43" s="274"/>
      <c r="O43" s="274"/>
      <c r="P43" s="65"/>
    </row>
    <row r="44" spans="1:17" ht="12" customHeight="1" x14ac:dyDescent="0.2">
      <c r="A44" s="9"/>
      <c r="B44" s="278"/>
      <c r="C44" s="278"/>
      <c r="D44" s="278"/>
      <c r="E44" s="278"/>
      <c r="F44" s="278"/>
      <c r="G44" s="278"/>
      <c r="H44" s="278"/>
      <c r="I44" s="278"/>
      <c r="J44" s="278"/>
      <c r="K44" s="278"/>
      <c r="L44" s="278"/>
      <c r="M44" s="278"/>
      <c r="N44" s="278"/>
      <c r="O44" s="278"/>
      <c r="P44" s="65"/>
    </row>
    <row r="45" spans="1:17" ht="12" customHeight="1" x14ac:dyDescent="0.2">
      <c r="A45" s="279"/>
      <c r="B45" s="279"/>
      <c r="C45" s="279"/>
      <c r="D45" s="279"/>
      <c r="E45" s="279"/>
      <c r="F45" s="279"/>
      <c r="G45" s="279"/>
      <c r="H45" s="279"/>
      <c r="I45" s="279"/>
      <c r="J45" s="279"/>
      <c r="K45" s="279"/>
      <c r="L45" s="279"/>
      <c r="M45" s="279"/>
      <c r="N45" s="279"/>
      <c r="O45" s="279"/>
    </row>
    <row r="46" spans="1:17" ht="12" customHeight="1" x14ac:dyDescent="0.2">
      <c r="A46" s="279"/>
      <c r="B46" s="279"/>
      <c r="C46" s="279"/>
      <c r="D46" s="279"/>
      <c r="E46" s="279"/>
      <c r="F46" s="279"/>
      <c r="G46" s="279"/>
      <c r="H46" s="279"/>
      <c r="I46" s="279"/>
      <c r="J46" s="279"/>
      <c r="K46" s="279"/>
      <c r="L46" s="279"/>
      <c r="M46" s="279"/>
      <c r="N46" s="279"/>
      <c r="O46" s="279"/>
    </row>
    <row r="47" spans="1:17" ht="12" customHeight="1" x14ac:dyDescent="0.2">
      <c r="A47" s="273"/>
      <c r="B47" s="273"/>
      <c r="C47" s="273"/>
      <c r="D47" s="273"/>
      <c r="E47" s="273"/>
      <c r="F47" s="273"/>
      <c r="G47" s="273"/>
      <c r="H47" s="273"/>
      <c r="I47" s="273"/>
      <c r="J47" s="273"/>
      <c r="K47" s="273"/>
      <c r="L47" s="273"/>
      <c r="M47" s="273"/>
      <c r="N47" s="273"/>
      <c r="O47" s="273"/>
    </row>
    <row r="48" spans="1:17" ht="12" hidden="1" customHeight="1" x14ac:dyDescent="0.2">
      <c r="A48" s="2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4"/>
    </row>
  </sheetData>
  <sheetProtection selectLockedCells="1" selectUnlockedCells="1"/>
  <mergeCells count="79">
    <mergeCell ref="A11:M11"/>
    <mergeCell ref="N11:O11"/>
    <mergeCell ref="A12:M12"/>
    <mergeCell ref="N12:O12"/>
    <mergeCell ref="A10:O10"/>
    <mergeCell ref="A9:O9"/>
    <mergeCell ref="A3:M4"/>
    <mergeCell ref="N3:O3"/>
    <mergeCell ref="N4:O4"/>
    <mergeCell ref="A5:O5"/>
    <mergeCell ref="A6:O6"/>
    <mergeCell ref="A7:D7"/>
    <mergeCell ref="E7:M7"/>
    <mergeCell ref="N7:O7"/>
    <mergeCell ref="A8:D8"/>
    <mergeCell ref="E8:M8"/>
    <mergeCell ref="N8:O8"/>
    <mergeCell ref="A13:M13"/>
    <mergeCell ref="N13:O13"/>
    <mergeCell ref="A21:M21"/>
    <mergeCell ref="N21:O21"/>
    <mergeCell ref="A16:M16"/>
    <mergeCell ref="N16:O16"/>
    <mergeCell ref="A17:M17"/>
    <mergeCell ref="N17:O17"/>
    <mergeCell ref="A18:M18"/>
    <mergeCell ref="N18:O18"/>
    <mergeCell ref="A15:M15"/>
    <mergeCell ref="N15:O15"/>
    <mergeCell ref="A14:O14"/>
    <mergeCell ref="A19:M19"/>
    <mergeCell ref="N19:O19"/>
    <mergeCell ref="A20:M20"/>
    <mergeCell ref="N20:O20"/>
    <mergeCell ref="A28:M28"/>
    <mergeCell ref="N28:O28"/>
    <mergeCell ref="A22:M22"/>
    <mergeCell ref="N22:O22"/>
    <mergeCell ref="A23:M23"/>
    <mergeCell ref="N23:O23"/>
    <mergeCell ref="A24:O24"/>
    <mergeCell ref="A25:O25"/>
    <mergeCell ref="A26:M26"/>
    <mergeCell ref="N26:O26"/>
    <mergeCell ref="A27:M27"/>
    <mergeCell ref="N27:O27"/>
    <mergeCell ref="A29:M29"/>
    <mergeCell ref="N29:O29"/>
    <mergeCell ref="A39:I39"/>
    <mergeCell ref="J39:O39"/>
    <mergeCell ref="A31:M31"/>
    <mergeCell ref="N31:O31"/>
    <mergeCell ref="A33:M33"/>
    <mergeCell ref="N33:O33"/>
    <mergeCell ref="A34:M34"/>
    <mergeCell ref="N34:O34"/>
    <mergeCell ref="A32:M32"/>
    <mergeCell ref="N32:O32"/>
    <mergeCell ref="A30:M30"/>
    <mergeCell ref="N30:O30"/>
    <mergeCell ref="A40:I40"/>
    <mergeCell ref="J40:O40"/>
    <mergeCell ref="A35:M35"/>
    <mergeCell ref="N35:O35"/>
    <mergeCell ref="A36:M36"/>
    <mergeCell ref="N36:O36"/>
    <mergeCell ref="A38:M38"/>
    <mergeCell ref="N38:O38"/>
    <mergeCell ref="A37:M37"/>
    <mergeCell ref="N37:O37"/>
    <mergeCell ref="A47:O47"/>
    <mergeCell ref="A41:M41"/>
    <mergeCell ref="N41:O41"/>
    <mergeCell ref="A42:M42"/>
    <mergeCell ref="N42:O42"/>
    <mergeCell ref="A43:O43"/>
    <mergeCell ref="B44:O44"/>
    <mergeCell ref="A45:O45"/>
    <mergeCell ref="A46:O46"/>
  </mergeCells>
  <phoneticPr fontId="17" type="noConversion"/>
  <printOptions horizontalCentered="1"/>
  <pageMargins left="1.1812499999999999" right="0.59027777777777779" top="1.1812499999999999" bottom="0.59027777777777779" header="0.51180555555555551" footer="0.51180555555555551"/>
  <pageSetup paperSize="9" scale="95" firstPageNumber="0" orientation="portrait" horizontalDpi="4294967294" verticalDpi="429496729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51"/>
  <sheetViews>
    <sheetView zoomScaleNormal="100" zoomScaleSheetLayoutView="130" workbookViewId="0">
      <selection activeCell="A3" sqref="A3:O34"/>
    </sheetView>
  </sheetViews>
  <sheetFormatPr defaultColWidth="9" defaultRowHeight="12.75" x14ac:dyDescent="0.2"/>
  <cols>
    <col min="2" max="2" width="44.140625" customWidth="1"/>
    <col min="3" max="3" width="3.85546875" customWidth="1"/>
    <col min="4" max="4" width="6" style="98" customWidth="1"/>
    <col min="5" max="5" width="7.140625" customWidth="1"/>
    <col min="6" max="6" width="6.85546875" customWidth="1"/>
    <col min="7" max="7" width="7.42578125" customWidth="1"/>
    <col min="8" max="9" width="6.5703125" bestFit="1" customWidth="1"/>
    <col min="10" max="10" width="7.42578125" bestFit="1" customWidth="1"/>
    <col min="11" max="11" width="6.85546875" customWidth="1"/>
    <col min="12" max="12" width="10.140625" customWidth="1"/>
    <col min="13" max="13" width="10.5703125" customWidth="1"/>
    <col min="14" max="14" width="0.140625" customWidth="1"/>
    <col min="15" max="15" width="6" hidden="1" customWidth="1"/>
    <col min="16" max="16" width="10.140625" customWidth="1"/>
    <col min="17" max="17" width="5.140625" bestFit="1" customWidth="1"/>
  </cols>
  <sheetData>
    <row r="1" spans="1:17" x14ac:dyDescent="0.2">
      <c r="A1" s="331"/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187"/>
      <c r="O1" s="188"/>
    </row>
    <row r="2" spans="1:17" x14ac:dyDescent="0.2">
      <c r="A2" s="333"/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  <c r="O2" s="189"/>
    </row>
    <row r="3" spans="1:17" x14ac:dyDescent="0.2">
      <c r="A3" s="356" t="s">
        <v>43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8" t="s">
        <v>4</v>
      </c>
      <c r="M3" s="358"/>
      <c r="O3" s="189"/>
    </row>
    <row r="4" spans="1:17" ht="18" x14ac:dyDescent="0.2">
      <c r="A4" s="356"/>
      <c r="B4" s="357"/>
      <c r="C4" s="357"/>
      <c r="D4" s="357"/>
      <c r="E4" s="357"/>
      <c r="F4" s="357"/>
      <c r="G4" s="357"/>
      <c r="H4" s="357"/>
      <c r="I4" s="357"/>
      <c r="J4" s="357"/>
      <c r="K4" s="357"/>
      <c r="L4" s="359" t="s">
        <v>44</v>
      </c>
      <c r="M4" s="359"/>
      <c r="O4" s="189"/>
    </row>
    <row r="5" spans="1:17" x14ac:dyDescent="0.2">
      <c r="A5" s="335" t="s">
        <v>6</v>
      </c>
      <c r="B5" s="336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6"/>
      <c r="O5" s="189"/>
    </row>
    <row r="6" spans="1:17" x14ac:dyDescent="0.2">
      <c r="A6" s="365" t="s">
        <v>7</v>
      </c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7"/>
    </row>
    <row r="7" spans="1:17" x14ac:dyDescent="0.2">
      <c r="A7" s="320" t="s">
        <v>8</v>
      </c>
      <c r="B7" s="321"/>
      <c r="C7" s="321" t="s">
        <v>9</v>
      </c>
      <c r="D7" s="321"/>
      <c r="E7" s="321"/>
      <c r="F7" s="321"/>
      <c r="G7" s="321"/>
      <c r="H7" s="321"/>
      <c r="I7" s="321"/>
      <c r="J7" s="321"/>
      <c r="K7" s="321"/>
      <c r="L7" s="321" t="s">
        <v>10</v>
      </c>
      <c r="M7" s="321"/>
      <c r="O7" s="189"/>
    </row>
    <row r="8" spans="1:17" s="83" customFormat="1" x14ac:dyDescent="0.2">
      <c r="A8" s="190" t="s">
        <v>11</v>
      </c>
      <c r="B8" s="82"/>
      <c r="C8" s="364" t="str">
        <f>FSUP!E8</f>
        <v>Serviços Especializados de Assessoria Ambiental</v>
      </c>
      <c r="D8" s="364"/>
      <c r="E8" s="364"/>
      <c r="F8" s="364"/>
      <c r="G8" s="364"/>
      <c r="H8" s="364"/>
      <c r="I8" s="364"/>
      <c r="J8" s="364"/>
      <c r="K8" s="364"/>
      <c r="L8" s="363" t="s">
        <v>13</v>
      </c>
      <c r="M8" s="363"/>
      <c r="O8" s="191"/>
    </row>
    <row r="9" spans="1:17" x14ac:dyDescent="0.2">
      <c r="A9" s="360" t="s">
        <v>45</v>
      </c>
      <c r="B9" s="361"/>
      <c r="C9" s="361"/>
      <c r="D9" s="361"/>
      <c r="E9" s="362" t="s">
        <v>46</v>
      </c>
      <c r="F9" s="362"/>
      <c r="G9" s="362"/>
      <c r="H9" s="362"/>
      <c r="I9" s="362"/>
      <c r="J9" s="362"/>
      <c r="K9" s="362"/>
      <c r="L9" s="361" t="s">
        <v>47</v>
      </c>
      <c r="M9" s="361"/>
      <c r="O9" s="189"/>
    </row>
    <row r="10" spans="1:17" ht="12" customHeight="1" x14ac:dyDescent="0.2">
      <c r="A10" s="352"/>
      <c r="B10" s="353"/>
      <c r="C10" s="84"/>
      <c r="D10" s="85"/>
      <c r="E10" s="12" t="s">
        <v>48</v>
      </c>
      <c r="F10" s="12" t="s">
        <v>49</v>
      </c>
      <c r="G10" s="12" t="s">
        <v>50</v>
      </c>
      <c r="H10" s="13" t="s">
        <v>51</v>
      </c>
      <c r="I10" s="14" t="s">
        <v>52</v>
      </c>
      <c r="J10" s="14" t="s">
        <v>48</v>
      </c>
      <c r="K10" s="14" t="s">
        <v>53</v>
      </c>
      <c r="L10" s="86" t="s">
        <v>48</v>
      </c>
      <c r="M10" s="86" t="s">
        <v>48</v>
      </c>
      <c r="O10" s="189"/>
    </row>
    <row r="11" spans="1:17" ht="12" customHeight="1" x14ac:dyDescent="0.2">
      <c r="A11" s="350" t="s">
        <v>54</v>
      </c>
      <c r="B11" s="351"/>
      <c r="C11" s="87" t="s">
        <v>55</v>
      </c>
      <c r="D11" s="88" t="s">
        <v>56</v>
      </c>
      <c r="E11" s="12" t="s">
        <v>57</v>
      </c>
      <c r="F11" s="12" t="s">
        <v>58</v>
      </c>
      <c r="G11" s="12" t="s">
        <v>59</v>
      </c>
      <c r="H11" s="13" t="s">
        <v>60</v>
      </c>
      <c r="I11" s="14" t="s">
        <v>61</v>
      </c>
      <c r="J11" s="14" t="s">
        <v>62</v>
      </c>
      <c r="K11" s="14" t="s">
        <v>63</v>
      </c>
      <c r="L11" s="89" t="s">
        <v>64</v>
      </c>
      <c r="M11" s="89" t="s">
        <v>65</v>
      </c>
      <c r="O11" s="189"/>
    </row>
    <row r="12" spans="1:17" ht="12" customHeight="1" x14ac:dyDescent="0.2">
      <c r="A12" s="368"/>
      <c r="B12" s="369"/>
      <c r="C12" s="15"/>
      <c r="D12" s="90"/>
      <c r="E12" s="15"/>
      <c r="F12" s="15"/>
      <c r="G12" s="15"/>
      <c r="H12" s="16"/>
      <c r="I12" s="16"/>
      <c r="J12" s="16"/>
      <c r="K12" s="16"/>
      <c r="L12" s="16"/>
      <c r="M12" s="16"/>
      <c r="O12" s="189"/>
    </row>
    <row r="13" spans="1:17" ht="15" x14ac:dyDescent="0.25">
      <c r="A13" s="370" t="s">
        <v>66</v>
      </c>
      <c r="B13" s="371"/>
      <c r="C13" s="192"/>
      <c r="D13" s="91"/>
      <c r="E13" s="56"/>
      <c r="F13" s="92"/>
      <c r="G13" s="92"/>
      <c r="H13" s="92"/>
      <c r="I13" s="92"/>
      <c r="J13" s="92"/>
      <c r="K13" s="92"/>
      <c r="L13" s="92"/>
      <c r="M13" s="92"/>
      <c r="O13" s="189"/>
      <c r="P13" s="93"/>
      <c r="Q13" s="94"/>
    </row>
    <row r="14" spans="1:17" ht="15.75" customHeight="1" x14ac:dyDescent="0.25">
      <c r="A14" s="348" t="s">
        <v>67</v>
      </c>
      <c r="B14" s="349"/>
      <c r="C14" s="96" t="s">
        <v>68</v>
      </c>
      <c r="D14" s="95">
        <v>3</v>
      </c>
      <c r="E14" s="57">
        <v>18000</v>
      </c>
      <c r="F14" s="55">
        <f>E14*0.2</f>
        <v>3600</v>
      </c>
      <c r="G14" s="55">
        <f t="shared" ref="G14:G23" si="0">E14*8%</f>
        <v>1440</v>
      </c>
      <c r="H14" s="55">
        <f t="shared" ref="H14:H23" si="1">(E14+F14+G14)*10%</f>
        <v>2304</v>
      </c>
      <c r="I14" s="55">
        <f>(E14+F14+G14+H14)*'FSUP-VI Det. Desp Fiscais'!$G$29%</f>
        <v>3373.2864</v>
      </c>
      <c r="J14" s="55">
        <f t="shared" ref="J14:J23" si="2">SUM(E14:I14)</f>
        <v>28717.286400000001</v>
      </c>
      <c r="K14" s="55">
        <f t="shared" ref="K14:K23" si="3">ROUND(J14/176,2)</f>
        <v>163.16999999999999</v>
      </c>
      <c r="L14" s="55"/>
      <c r="M14" s="55">
        <f>ROUND(D14*E14,2)</f>
        <v>54000</v>
      </c>
      <c r="O14" s="189"/>
      <c r="P14" s="93"/>
      <c r="Q14" s="94"/>
    </row>
    <row r="15" spans="1:17" ht="15.75" customHeight="1" x14ac:dyDescent="0.2">
      <c r="A15" s="348" t="s">
        <v>69</v>
      </c>
      <c r="B15" s="349"/>
      <c r="C15" s="96" t="s">
        <v>70</v>
      </c>
      <c r="D15" s="95">
        <v>36</v>
      </c>
      <c r="E15" s="57">
        <v>10302</v>
      </c>
      <c r="F15" s="55">
        <f>E15*0.2</f>
        <v>2060.4</v>
      </c>
      <c r="G15" s="55">
        <f t="shared" si="0"/>
        <v>824.16</v>
      </c>
      <c r="H15" s="55">
        <f t="shared" si="1"/>
        <v>1318.6559999999999</v>
      </c>
      <c r="I15" s="55">
        <f>(E15+F15+G15+H15)*'FSUP-VI Det. Desp Fiscais'!$G$29%</f>
        <v>1930.6442496</v>
      </c>
      <c r="J15" s="55">
        <f t="shared" si="2"/>
        <v>16435.860249600002</v>
      </c>
      <c r="K15" s="55">
        <f t="shared" si="3"/>
        <v>93.39</v>
      </c>
      <c r="L15" s="55"/>
      <c r="M15" s="55">
        <f>ROUND(D15*E15,2)</f>
        <v>370872</v>
      </c>
      <c r="O15" s="193"/>
      <c r="P15" s="94"/>
      <c r="Q15" s="67"/>
    </row>
    <row r="16" spans="1:17" ht="15" customHeight="1" x14ac:dyDescent="0.2">
      <c r="A16" s="348" t="s">
        <v>71</v>
      </c>
      <c r="B16" s="349"/>
      <c r="C16" s="96" t="s">
        <v>70</v>
      </c>
      <c r="D16" s="95">
        <v>243</v>
      </c>
      <c r="E16" s="57">
        <v>10302</v>
      </c>
      <c r="F16" s="55">
        <f>E16*0.2</f>
        <v>2060.4</v>
      </c>
      <c r="G16" s="55">
        <f t="shared" si="0"/>
        <v>824.16</v>
      </c>
      <c r="H16" s="55">
        <f t="shared" si="1"/>
        <v>1318.6559999999999</v>
      </c>
      <c r="I16" s="55">
        <f>(E16+F16+G16+H16)*'FSUP-VI Det. Desp Fiscais'!$G$29%</f>
        <v>1930.6442496</v>
      </c>
      <c r="J16" s="55">
        <f t="shared" si="2"/>
        <v>16435.860249600002</v>
      </c>
      <c r="K16" s="55">
        <f t="shared" si="3"/>
        <v>93.39</v>
      </c>
      <c r="L16" s="55"/>
      <c r="M16" s="55">
        <f>ROUND(D16*E16,2)</f>
        <v>2503386</v>
      </c>
      <c r="O16" s="193"/>
      <c r="P16" s="94"/>
      <c r="Q16" s="67"/>
    </row>
    <row r="17" spans="1:18" ht="12.75" customHeight="1" x14ac:dyDescent="0.2">
      <c r="A17" s="348" t="s">
        <v>72</v>
      </c>
      <c r="B17" s="349"/>
      <c r="C17" s="96" t="s">
        <v>70</v>
      </c>
      <c r="D17" s="95">
        <v>51</v>
      </c>
      <c r="E17" s="57">
        <v>10302</v>
      </c>
      <c r="F17" s="55">
        <f>E17*0.2</f>
        <v>2060.4</v>
      </c>
      <c r="G17" s="55">
        <f t="shared" si="0"/>
        <v>824.16</v>
      </c>
      <c r="H17" s="55">
        <f t="shared" si="1"/>
        <v>1318.6559999999999</v>
      </c>
      <c r="I17" s="55">
        <f>(E17+F17+G17+H17)*'FSUP-VI Det. Desp Fiscais'!$G$29%</f>
        <v>1930.6442496</v>
      </c>
      <c r="J17" s="55">
        <f t="shared" si="2"/>
        <v>16435.860249600002</v>
      </c>
      <c r="K17" s="55">
        <f t="shared" si="3"/>
        <v>93.39</v>
      </c>
      <c r="L17" s="55"/>
      <c r="M17" s="55">
        <f>ROUND(D17*E17,2)</f>
        <v>525402</v>
      </c>
      <c r="O17" s="193"/>
      <c r="P17" s="94"/>
      <c r="Q17" s="67"/>
    </row>
    <row r="18" spans="1:18" ht="12.75" customHeight="1" x14ac:dyDescent="0.2">
      <c r="A18" s="372" t="s">
        <v>73</v>
      </c>
      <c r="B18" s="373"/>
      <c r="C18" s="96" t="s">
        <v>70</v>
      </c>
      <c r="D18" s="95">
        <v>186</v>
      </c>
      <c r="E18" s="266">
        <v>4429.5626000000002</v>
      </c>
      <c r="F18" s="55">
        <f>E18*0.2</f>
        <v>885.91252000000009</v>
      </c>
      <c r="G18" s="55">
        <f t="shared" si="0"/>
        <v>354.36500800000005</v>
      </c>
      <c r="H18" s="55">
        <f t="shared" si="1"/>
        <v>566.98401279999996</v>
      </c>
      <c r="I18" s="55">
        <f>(E18+F18+G18+H18)*'FSUP-VI Det. Desp Fiscais'!$G$29%</f>
        <v>830.12129314047991</v>
      </c>
      <c r="J18" s="55">
        <f t="shared" si="2"/>
        <v>7066.9454339404792</v>
      </c>
      <c r="K18" s="55">
        <f t="shared" si="3"/>
        <v>40.15</v>
      </c>
      <c r="L18" s="55"/>
      <c r="M18" s="55">
        <f>ROUND(D18*E18,4)</f>
        <v>823898.64359999995</v>
      </c>
      <c r="O18" s="193"/>
      <c r="P18" s="94"/>
      <c r="Q18" s="67"/>
    </row>
    <row r="19" spans="1:18" ht="15" customHeight="1" x14ac:dyDescent="0.2">
      <c r="A19" s="348" t="s">
        <v>74</v>
      </c>
      <c r="B19" s="349"/>
      <c r="C19" s="96" t="s">
        <v>70</v>
      </c>
      <c r="D19" s="95">
        <v>54</v>
      </c>
      <c r="E19" s="57">
        <v>4000</v>
      </c>
      <c r="F19" s="55">
        <f>E19*'FSUP-VII Det. Enc. Sociais'!$F$49</f>
        <v>2770.7999999999997</v>
      </c>
      <c r="G19" s="55">
        <f t="shared" si="0"/>
        <v>320</v>
      </c>
      <c r="H19" s="55">
        <f t="shared" si="1"/>
        <v>709.07999999999993</v>
      </c>
      <c r="I19" s="55">
        <f>(E19+F19+G19+H19)*'FSUP-VI Det. Desp Fiscais'!$G$29%</f>
        <v>1038.1640279999999</v>
      </c>
      <c r="J19" s="55">
        <f t="shared" si="2"/>
        <v>8838.0440279999984</v>
      </c>
      <c r="K19" s="55">
        <f t="shared" si="3"/>
        <v>50.22</v>
      </c>
      <c r="L19" s="55">
        <f t="shared" ref="L19:L23" si="4">ROUND(D19*E19,2)</f>
        <v>216000</v>
      </c>
      <c r="M19" s="55"/>
      <c r="O19" s="193"/>
      <c r="P19" s="94"/>
      <c r="Q19" s="94"/>
    </row>
    <row r="20" spans="1:18" ht="12.75" customHeight="1" x14ac:dyDescent="0.2">
      <c r="A20" s="348" t="s">
        <v>75</v>
      </c>
      <c r="B20" s="349"/>
      <c r="C20" s="96" t="s">
        <v>70</v>
      </c>
      <c r="D20" s="95">
        <v>57</v>
      </c>
      <c r="E20" s="57">
        <v>4000</v>
      </c>
      <c r="F20" s="55">
        <f>E20*'FSUP-VII Det. Enc. Sociais'!$F$49</f>
        <v>2770.7999999999997</v>
      </c>
      <c r="G20" s="55">
        <f t="shared" si="0"/>
        <v>320</v>
      </c>
      <c r="H20" s="55">
        <f t="shared" si="1"/>
        <v>709.07999999999993</v>
      </c>
      <c r="I20" s="55">
        <f>(E20+F20+G20+H20)*'FSUP-VI Det. Desp Fiscais'!$G$29%</f>
        <v>1038.1640279999999</v>
      </c>
      <c r="J20" s="55">
        <f t="shared" si="2"/>
        <v>8838.0440279999984</v>
      </c>
      <c r="K20" s="55">
        <f t="shared" si="3"/>
        <v>50.22</v>
      </c>
      <c r="L20" s="55">
        <f t="shared" si="4"/>
        <v>228000</v>
      </c>
      <c r="M20" s="55"/>
      <c r="O20" s="193"/>
      <c r="P20" s="94"/>
      <c r="Q20" s="94"/>
    </row>
    <row r="21" spans="1:18" x14ac:dyDescent="0.2">
      <c r="A21" s="348" t="s">
        <v>76</v>
      </c>
      <c r="B21" s="349"/>
      <c r="C21" s="96" t="s">
        <v>70</v>
      </c>
      <c r="D21" s="95">
        <v>57</v>
      </c>
      <c r="E21" s="57">
        <v>4000</v>
      </c>
      <c r="F21" s="55">
        <f>E21*'FSUP-VII Det. Enc. Sociais'!$F$49</f>
        <v>2770.7999999999997</v>
      </c>
      <c r="G21" s="55">
        <f t="shared" si="0"/>
        <v>320</v>
      </c>
      <c r="H21" s="55">
        <f t="shared" si="1"/>
        <v>709.07999999999993</v>
      </c>
      <c r="I21" s="55">
        <f>(E21+F21+G21+H21)*'FSUP-VI Det. Desp Fiscais'!$G$29%</f>
        <v>1038.1640279999999</v>
      </c>
      <c r="J21" s="55">
        <f t="shared" si="2"/>
        <v>8838.0440279999984</v>
      </c>
      <c r="K21" s="55">
        <f t="shared" si="3"/>
        <v>50.22</v>
      </c>
      <c r="L21" s="55">
        <f t="shared" si="4"/>
        <v>228000</v>
      </c>
      <c r="M21" s="55"/>
      <c r="O21" s="193"/>
      <c r="P21" s="94"/>
      <c r="Q21" s="94"/>
    </row>
    <row r="22" spans="1:18" ht="12.75" customHeight="1" x14ac:dyDescent="0.2">
      <c r="A22" s="348" t="s">
        <v>77</v>
      </c>
      <c r="B22" s="349"/>
      <c r="C22" s="96" t="s">
        <v>70</v>
      </c>
      <c r="D22" s="95">
        <v>30</v>
      </c>
      <c r="E22" s="57">
        <v>4000</v>
      </c>
      <c r="F22" s="55">
        <f>E22*'FSUP-VII Det. Enc. Sociais'!$F$49</f>
        <v>2770.7999999999997</v>
      </c>
      <c r="G22" s="55">
        <f t="shared" si="0"/>
        <v>320</v>
      </c>
      <c r="H22" s="55">
        <f t="shared" si="1"/>
        <v>709.07999999999993</v>
      </c>
      <c r="I22" s="55">
        <f>(E22+F22+G22+H22)*'FSUP-VI Det. Desp Fiscais'!$G$29%</f>
        <v>1038.1640279999999</v>
      </c>
      <c r="J22" s="55">
        <f t="shared" si="2"/>
        <v>8838.0440279999984</v>
      </c>
      <c r="K22" s="55">
        <f t="shared" si="3"/>
        <v>50.22</v>
      </c>
      <c r="L22" s="55">
        <f t="shared" si="4"/>
        <v>120000</v>
      </c>
      <c r="M22" s="55"/>
      <c r="O22" s="193"/>
      <c r="P22" s="94"/>
      <c r="Q22" s="94"/>
    </row>
    <row r="23" spans="1:18" ht="12.75" customHeight="1" x14ac:dyDescent="0.2">
      <c r="A23" s="348" t="s">
        <v>78</v>
      </c>
      <c r="B23" s="349"/>
      <c r="C23" s="96" t="s">
        <v>70</v>
      </c>
      <c r="D23" s="95">
        <v>12</v>
      </c>
      <c r="E23" s="57">
        <v>3823.55</v>
      </c>
      <c r="F23" s="55">
        <f>E23*'FSUP-VII Det. Enc. Sociais'!$F$49</f>
        <v>2648.573085</v>
      </c>
      <c r="G23" s="55">
        <f t="shared" si="0"/>
        <v>305.88400000000001</v>
      </c>
      <c r="H23" s="55">
        <f t="shared" si="1"/>
        <v>677.80070850000004</v>
      </c>
      <c r="I23" s="55">
        <f>(E23+F23+G23+H23)*'FSUP-VI Det. Desp Fiscais'!$G$29%</f>
        <v>992.36801731485002</v>
      </c>
      <c r="J23" s="55">
        <f t="shared" si="2"/>
        <v>8448.1758108148497</v>
      </c>
      <c r="K23" s="55">
        <f t="shared" si="3"/>
        <v>48</v>
      </c>
      <c r="L23" s="55">
        <f t="shared" si="4"/>
        <v>45882.6</v>
      </c>
      <c r="M23" s="55"/>
      <c r="O23" s="193"/>
      <c r="P23" s="94"/>
      <c r="Q23" s="94"/>
    </row>
    <row r="24" spans="1:18" x14ac:dyDescent="0.2">
      <c r="A24" s="194" t="s">
        <v>79</v>
      </c>
      <c r="B24" s="195"/>
      <c r="C24" s="196"/>
      <c r="D24" s="197"/>
      <c r="E24" s="57"/>
      <c r="F24" s="55"/>
      <c r="G24" s="97"/>
      <c r="H24" s="97"/>
      <c r="I24" s="97"/>
      <c r="J24" s="97"/>
      <c r="K24" s="55"/>
      <c r="L24" s="55"/>
      <c r="M24" s="92"/>
      <c r="O24" s="193"/>
      <c r="Q24" s="94"/>
      <c r="R24" s="98"/>
    </row>
    <row r="25" spans="1:18" ht="13.5" customHeight="1" x14ac:dyDescent="0.2">
      <c r="A25" s="306" t="s">
        <v>80</v>
      </c>
      <c r="B25" s="307"/>
      <c r="C25" s="99" t="s">
        <v>81</v>
      </c>
      <c r="D25" s="95">
        <v>175</v>
      </c>
      <c r="E25" s="57">
        <v>2848</v>
      </c>
      <c r="F25" s="55">
        <f>E25*'FSUP-VII Det. Enc. Sociais'!F49</f>
        <v>1972.8096</v>
      </c>
      <c r="G25" s="55">
        <f>E25*8%</f>
        <v>227.84</v>
      </c>
      <c r="H25" s="55">
        <f>(E25+F25+G25)*10%</f>
        <v>504.86496000000011</v>
      </c>
      <c r="I25" s="55">
        <f>(E25+F25+G25+H25)*'FSUP-VI Det. Desp Fiscais'!G29%</f>
        <v>739.17278793600008</v>
      </c>
      <c r="J25" s="55">
        <f>SUM(E25:I25)</f>
        <v>6292.6873479360002</v>
      </c>
      <c r="K25" s="55">
        <f>ROUND(J25/176,2)</f>
        <v>35.75</v>
      </c>
      <c r="L25" s="55">
        <f>ROUND(D25*E25,2)</f>
        <v>498400</v>
      </c>
      <c r="M25" s="55"/>
      <c r="O25" s="193"/>
      <c r="P25" s="94"/>
      <c r="Q25" s="94"/>
    </row>
    <row r="26" spans="1:18" x14ac:dyDescent="0.2">
      <c r="A26" s="326" t="s">
        <v>82</v>
      </c>
      <c r="B26" s="327"/>
      <c r="C26" s="100"/>
      <c r="D26" s="101"/>
      <c r="E26" s="57"/>
      <c r="F26" s="55"/>
      <c r="G26" s="55"/>
      <c r="H26" s="55"/>
      <c r="I26" s="55"/>
      <c r="J26" s="55"/>
      <c r="K26" s="55"/>
      <c r="L26" s="55"/>
      <c r="M26" s="92"/>
      <c r="O26" s="193"/>
      <c r="Q26" s="94"/>
    </row>
    <row r="27" spans="1:18" ht="12.75" customHeight="1" x14ac:dyDescent="0.2">
      <c r="A27" s="346" t="s">
        <v>83</v>
      </c>
      <c r="B27" s="347"/>
      <c r="C27" s="99" t="s">
        <v>84</v>
      </c>
      <c r="D27" s="95">
        <v>207</v>
      </c>
      <c r="E27" s="55">
        <v>1428.53</v>
      </c>
      <c r="F27" s="55">
        <f>E27*'FSUP-VII Det. Enc. Sociais'!F49</f>
        <v>989.542731</v>
      </c>
      <c r="G27" s="55">
        <f>E27*8%</f>
        <v>114.2824</v>
      </c>
      <c r="H27" s="55">
        <f>(E27+F27+G27)*10%</f>
        <v>253.23551310000005</v>
      </c>
      <c r="I27" s="55">
        <f>(E27+F27+G27+H27)*'FSUP-VI Det. Desp Fiscais'!G29%</f>
        <v>370.76211472970999</v>
      </c>
      <c r="J27" s="55">
        <f>SUM(E27:I27)</f>
        <v>3156.3527588297102</v>
      </c>
      <c r="K27" s="55">
        <f>ROUND(J27/176,2)</f>
        <v>17.93</v>
      </c>
      <c r="L27" s="55">
        <f>ROUND(D27*E27,2)</f>
        <v>295705.71000000002</v>
      </c>
      <c r="M27" s="55"/>
      <c r="O27" s="193"/>
      <c r="P27" s="94"/>
      <c r="Q27" s="94"/>
    </row>
    <row r="28" spans="1:18" x14ac:dyDescent="0.2">
      <c r="A28" s="326" t="s">
        <v>85</v>
      </c>
      <c r="B28" s="327"/>
      <c r="C28" s="100"/>
      <c r="D28" s="197"/>
      <c r="E28" s="92"/>
      <c r="F28" s="55"/>
      <c r="G28" s="55"/>
      <c r="H28" s="55"/>
      <c r="I28" s="55"/>
      <c r="J28" s="55"/>
      <c r="K28" s="55"/>
      <c r="L28" s="55"/>
      <c r="M28" s="92"/>
      <c r="O28" s="189"/>
    </row>
    <row r="29" spans="1:18" x14ac:dyDescent="0.2">
      <c r="A29" s="324"/>
      <c r="B29" s="325"/>
      <c r="C29" s="325"/>
      <c r="D29" s="102"/>
      <c r="E29" s="341"/>
      <c r="F29" s="341"/>
      <c r="G29" s="341"/>
      <c r="H29" s="341"/>
      <c r="I29" s="341"/>
      <c r="J29" s="341"/>
      <c r="K29" s="341"/>
      <c r="L29" s="55"/>
      <c r="M29" s="55"/>
      <c r="O29" s="189"/>
    </row>
    <row r="30" spans="1:18" x14ac:dyDescent="0.2">
      <c r="A30" s="342" t="s">
        <v>86</v>
      </c>
      <c r="B30" s="343"/>
      <c r="C30" s="343"/>
      <c r="D30" s="343"/>
      <c r="E30" s="343"/>
      <c r="F30" s="343"/>
      <c r="G30" s="343"/>
      <c r="H30" s="343"/>
      <c r="I30" s="343"/>
      <c r="J30" s="343"/>
      <c r="K30" s="343"/>
      <c r="L30" s="103">
        <f>ROUND(SUM(L13:L29),2)</f>
        <v>1631988.31</v>
      </c>
      <c r="M30" s="103">
        <f>SUM(M13:M29)</f>
        <v>4277558.6436000001</v>
      </c>
      <c r="O30" s="189"/>
    </row>
    <row r="31" spans="1:18" x14ac:dyDescent="0.2">
      <c r="A31" s="335" t="s">
        <v>36</v>
      </c>
      <c r="B31" s="336"/>
      <c r="C31" s="336"/>
      <c r="D31" s="336"/>
      <c r="E31" s="336"/>
      <c r="F31" s="336"/>
      <c r="G31" s="336"/>
      <c r="H31" s="337" t="s">
        <v>37</v>
      </c>
      <c r="I31" s="337"/>
      <c r="J31" s="337"/>
      <c r="K31" s="337"/>
      <c r="L31" s="337"/>
      <c r="M31" s="337"/>
      <c r="O31" s="189"/>
    </row>
    <row r="32" spans="1:18" x14ac:dyDescent="0.2">
      <c r="A32" s="329" t="s">
        <v>38</v>
      </c>
      <c r="B32" s="298"/>
      <c r="C32" s="298"/>
      <c r="D32" s="298"/>
      <c r="E32" s="298"/>
      <c r="F32" s="298"/>
      <c r="G32" s="298"/>
      <c r="H32" s="328" t="s">
        <v>39</v>
      </c>
      <c r="I32" s="328"/>
      <c r="J32" s="328"/>
      <c r="K32" s="328"/>
      <c r="L32" s="328"/>
      <c r="M32" s="328"/>
      <c r="O32" s="189"/>
    </row>
    <row r="33" spans="1:15" x14ac:dyDescent="0.2">
      <c r="A33" s="338" t="s">
        <v>40</v>
      </c>
      <c r="B33" s="339"/>
      <c r="C33" s="339"/>
      <c r="D33" s="339"/>
      <c r="E33" s="339"/>
      <c r="F33" s="339"/>
      <c r="G33" s="339"/>
      <c r="H33" s="339"/>
      <c r="I33" s="339"/>
      <c r="J33" s="339"/>
      <c r="K33" s="339"/>
      <c r="L33" s="340" t="s">
        <v>41</v>
      </c>
      <c r="M33" s="340"/>
      <c r="O33" s="189"/>
    </row>
    <row r="34" spans="1:15" ht="40.5" customHeight="1" x14ac:dyDescent="0.2">
      <c r="A34" s="329"/>
      <c r="B34" s="298"/>
      <c r="C34" s="298"/>
      <c r="D34" s="298"/>
      <c r="E34" s="298"/>
      <c r="F34" s="298"/>
      <c r="G34" s="298"/>
      <c r="H34" s="298"/>
      <c r="I34" s="298"/>
      <c r="J34" s="298"/>
      <c r="K34" s="298"/>
      <c r="L34" s="510">
        <v>45281</v>
      </c>
      <c r="M34" s="511"/>
      <c r="O34" s="189"/>
    </row>
    <row r="35" spans="1:15" x14ac:dyDescent="0.2">
      <c r="A35" s="344" t="s">
        <v>42</v>
      </c>
      <c r="B35" s="345"/>
      <c r="C35" s="345"/>
      <c r="D35" s="345"/>
      <c r="E35" s="345"/>
      <c r="F35" s="345"/>
      <c r="G35" s="345"/>
      <c r="H35" s="345"/>
      <c r="I35" s="345"/>
      <c r="J35" s="345"/>
      <c r="K35" s="345"/>
      <c r="L35" s="345"/>
      <c r="M35" s="345"/>
      <c r="O35" s="189"/>
    </row>
    <row r="36" spans="1:15" x14ac:dyDescent="0.2">
      <c r="A36" s="310" t="s">
        <v>87</v>
      </c>
      <c r="B36" s="311"/>
      <c r="C36" s="311"/>
      <c r="D36" s="311"/>
      <c r="E36" s="311"/>
      <c r="F36" s="311"/>
      <c r="G36" s="311"/>
      <c r="H36" s="311"/>
      <c r="I36" s="311"/>
      <c r="J36" s="311"/>
      <c r="K36" s="311"/>
      <c r="L36" s="311"/>
      <c r="M36" s="311"/>
      <c r="O36" s="189"/>
    </row>
    <row r="37" spans="1:15" x14ac:dyDescent="0.2">
      <c r="A37" s="310" t="s">
        <v>88</v>
      </c>
      <c r="B37" s="311"/>
      <c r="C37" s="311"/>
      <c r="D37" s="311"/>
      <c r="E37" s="311"/>
      <c r="F37" s="311"/>
      <c r="G37" s="311"/>
      <c r="H37" s="311"/>
      <c r="I37" s="311"/>
      <c r="J37" s="311"/>
      <c r="K37" s="311"/>
      <c r="L37" s="311"/>
      <c r="M37" s="311"/>
      <c r="O37" s="189"/>
    </row>
    <row r="38" spans="1:15" ht="12.95" customHeight="1" x14ac:dyDescent="0.2">
      <c r="A38" s="198" t="s">
        <v>89</v>
      </c>
      <c r="B38" s="302"/>
      <c r="C38" s="302"/>
      <c r="D38" s="302"/>
      <c r="E38" s="302"/>
      <c r="F38" s="302"/>
      <c r="G38" s="302"/>
      <c r="H38" s="302"/>
      <c r="I38" s="302"/>
      <c r="J38" s="302"/>
      <c r="K38" s="302"/>
      <c r="L38" s="302"/>
      <c r="M38" s="303"/>
      <c r="O38" s="189"/>
    </row>
    <row r="39" spans="1:15" x14ac:dyDescent="0.2">
      <c r="A39" s="322" t="s">
        <v>90</v>
      </c>
      <c r="B39" s="323"/>
      <c r="C39" s="323"/>
      <c r="D39" s="323"/>
      <c r="E39" s="323"/>
      <c r="F39" s="323"/>
      <c r="G39" s="323"/>
      <c r="H39" s="323"/>
      <c r="I39" s="323"/>
      <c r="J39" s="323"/>
      <c r="K39" s="323"/>
      <c r="L39" s="323"/>
      <c r="M39" s="323"/>
      <c r="O39" s="189"/>
    </row>
    <row r="40" spans="1:15" x14ac:dyDescent="0.2">
      <c r="A40" s="320" t="str">
        <f>CONCATENATE("5 - ENC. SOCIAIS, APLICAR NO MÁXIMO 20%  PARA AUTÔNOMOS E ",100*'FSUP-VII Det. Enc. Sociais'!F49,"% PARA EMPREG. COM VÍNCULO DETALHAR NO FSUP-VII")</f>
        <v>5 - ENC. SOCIAIS, APLICAR NO MÁXIMO 20%  PARA AUTÔNOMOS E 69,27% PARA EMPREG. COM VÍNCULO DETALHAR NO FSUP-VII</v>
      </c>
      <c r="B40" s="321"/>
      <c r="C40" s="321"/>
      <c r="D40" s="321"/>
      <c r="E40" s="321"/>
      <c r="F40" s="321"/>
      <c r="G40" s="321"/>
      <c r="H40" s="321"/>
      <c r="I40" s="321"/>
      <c r="J40" s="321"/>
      <c r="K40" s="321"/>
      <c r="L40" s="321"/>
      <c r="M40" s="321"/>
      <c r="O40" s="189"/>
    </row>
    <row r="41" spans="1:15" x14ac:dyDescent="0.2">
      <c r="A41" s="312" t="s">
        <v>91</v>
      </c>
      <c r="B41" s="313"/>
      <c r="C41" s="313"/>
      <c r="D41" s="313"/>
      <c r="E41" s="313"/>
      <c r="F41" s="313"/>
      <c r="G41" s="313"/>
      <c r="H41" s="313"/>
      <c r="I41" s="313"/>
      <c r="J41" s="313"/>
      <c r="K41" s="313"/>
      <c r="L41" s="313"/>
      <c r="M41" s="313"/>
      <c r="O41" s="189"/>
    </row>
    <row r="42" spans="1:15" x14ac:dyDescent="0.2">
      <c r="A42" s="314" t="s">
        <v>92</v>
      </c>
      <c r="B42" s="315"/>
      <c r="C42" s="315"/>
      <c r="D42" s="315"/>
      <c r="E42" s="315"/>
      <c r="F42" s="315"/>
      <c r="G42" s="315"/>
      <c r="H42" s="315"/>
      <c r="I42" s="315"/>
      <c r="J42" s="315"/>
      <c r="K42" s="315"/>
      <c r="L42" s="315"/>
      <c r="M42" s="315"/>
      <c r="O42" s="189"/>
    </row>
    <row r="43" spans="1:15" x14ac:dyDescent="0.2">
      <c r="A43" s="314" t="s">
        <v>93</v>
      </c>
      <c r="B43" s="315"/>
      <c r="C43" s="315"/>
      <c r="D43" s="315"/>
      <c r="E43" s="315"/>
      <c r="F43" s="315"/>
      <c r="G43" s="315"/>
      <c r="H43" s="315"/>
      <c r="I43" s="315"/>
      <c r="J43" s="315"/>
      <c r="K43" s="315"/>
      <c r="L43" s="315"/>
      <c r="M43" s="315"/>
      <c r="O43" s="189"/>
    </row>
    <row r="44" spans="1:15" x14ac:dyDescent="0.2">
      <c r="A44" s="314" t="s">
        <v>94</v>
      </c>
      <c r="B44" s="315"/>
      <c r="C44" s="315"/>
      <c r="D44" s="315"/>
      <c r="E44" s="315"/>
      <c r="F44" s="315"/>
      <c r="G44" s="315"/>
      <c r="H44" s="315"/>
      <c r="I44" s="315"/>
      <c r="J44" s="315"/>
      <c r="K44" s="315"/>
      <c r="L44" s="315"/>
      <c r="M44" s="315"/>
      <c r="O44" s="189"/>
    </row>
    <row r="45" spans="1:15" ht="12.95" customHeight="1" x14ac:dyDescent="0.2">
      <c r="A45" s="199" t="s">
        <v>95</v>
      </c>
      <c r="B45" s="304"/>
      <c r="C45" s="304"/>
      <c r="D45" s="304"/>
      <c r="E45" s="304"/>
      <c r="F45" s="304"/>
      <c r="G45" s="304"/>
      <c r="H45" s="304"/>
      <c r="I45" s="304"/>
      <c r="J45" s="304"/>
      <c r="K45" s="304"/>
      <c r="L45" s="304"/>
      <c r="M45" s="305"/>
      <c r="O45" s="189"/>
    </row>
    <row r="46" spans="1:15" x14ac:dyDescent="0.2">
      <c r="A46" s="316" t="s">
        <v>96</v>
      </c>
      <c r="B46" s="317"/>
      <c r="C46" s="317"/>
      <c r="D46" s="317"/>
      <c r="E46" s="317"/>
      <c r="F46" s="317"/>
      <c r="G46" s="317"/>
      <c r="H46" s="317"/>
      <c r="I46" s="317"/>
      <c r="J46" s="317"/>
      <c r="K46" s="317"/>
      <c r="L46" s="317"/>
      <c r="M46" s="317"/>
      <c r="O46" s="189"/>
    </row>
    <row r="47" spans="1:15" x14ac:dyDescent="0.2">
      <c r="A47" s="316" t="s">
        <v>97</v>
      </c>
      <c r="B47" s="317"/>
      <c r="C47" s="317"/>
      <c r="D47" s="317"/>
      <c r="E47" s="317"/>
      <c r="F47" s="317"/>
      <c r="G47" s="317"/>
      <c r="H47" s="317"/>
      <c r="I47" s="317"/>
      <c r="J47" s="317"/>
      <c r="K47" s="317"/>
      <c r="L47" s="317"/>
      <c r="M47" s="317"/>
      <c r="O47" s="189"/>
    </row>
    <row r="48" spans="1:15" ht="12.75" customHeight="1" x14ac:dyDescent="0.2">
      <c r="A48" s="318" t="s">
        <v>98</v>
      </c>
      <c r="B48" s="319"/>
      <c r="C48" s="319"/>
      <c r="D48" s="319"/>
      <c r="E48" s="319"/>
      <c r="F48" s="319"/>
      <c r="G48" s="319"/>
      <c r="H48" s="319"/>
      <c r="I48" s="319"/>
      <c r="J48" s="319"/>
      <c r="K48" s="319"/>
      <c r="L48" s="319"/>
      <c r="M48" s="319"/>
      <c r="O48" s="189"/>
    </row>
    <row r="49" spans="1:15" ht="12.75" customHeight="1" x14ac:dyDescent="0.2">
      <c r="A49" s="308" t="s">
        <v>99</v>
      </c>
      <c r="B49" s="309"/>
      <c r="C49" s="309"/>
      <c r="D49" s="309"/>
      <c r="E49" s="309"/>
      <c r="F49" s="309"/>
      <c r="G49" s="309"/>
      <c r="H49" s="309"/>
      <c r="I49" s="309"/>
      <c r="J49" s="309"/>
      <c r="K49" s="309"/>
      <c r="L49" s="309"/>
      <c r="M49" s="309"/>
      <c r="O49" s="189"/>
    </row>
    <row r="50" spans="1:15" ht="12.75" customHeight="1" x14ac:dyDescent="0.2">
      <c r="A50" s="308" t="s">
        <v>100</v>
      </c>
      <c r="B50" s="309"/>
      <c r="C50" s="309"/>
      <c r="D50" s="309"/>
      <c r="E50" s="309"/>
      <c r="F50" s="309"/>
      <c r="G50" s="309"/>
      <c r="H50" s="309"/>
      <c r="I50" s="309"/>
      <c r="J50" s="309"/>
      <c r="K50" s="309"/>
      <c r="L50" s="309"/>
      <c r="M50" s="309"/>
      <c r="O50" s="189"/>
    </row>
    <row r="51" spans="1:15" x14ac:dyDescent="0.2">
      <c r="A51" s="354" t="s">
        <v>101</v>
      </c>
      <c r="B51" s="355"/>
      <c r="C51" s="355"/>
      <c r="D51" s="355"/>
      <c r="E51" s="355"/>
      <c r="F51" s="355"/>
      <c r="G51" s="355"/>
      <c r="H51" s="355"/>
      <c r="I51" s="355"/>
      <c r="J51" s="355"/>
      <c r="K51" s="355"/>
      <c r="L51" s="355"/>
      <c r="M51" s="355"/>
      <c r="N51" s="200"/>
      <c r="O51" s="201"/>
    </row>
  </sheetData>
  <sheetProtection selectLockedCells="1" selectUnlockedCells="1"/>
  <mergeCells count="60">
    <mergeCell ref="A13:B13"/>
    <mergeCell ref="A14:B14"/>
    <mergeCell ref="A21:B21"/>
    <mergeCell ref="A22:B22"/>
    <mergeCell ref="A18:B18"/>
    <mergeCell ref="A17:B17"/>
    <mergeCell ref="A16:B16"/>
    <mergeCell ref="A51:M51"/>
    <mergeCell ref="A3:K4"/>
    <mergeCell ref="L3:M3"/>
    <mergeCell ref="L4:M4"/>
    <mergeCell ref="A5:M5"/>
    <mergeCell ref="A9:D9"/>
    <mergeCell ref="E9:K9"/>
    <mergeCell ref="L9:M9"/>
    <mergeCell ref="C7:K7"/>
    <mergeCell ref="L8:M8"/>
    <mergeCell ref="C8:K8"/>
    <mergeCell ref="L7:M7"/>
    <mergeCell ref="A6:O6"/>
    <mergeCell ref="A12:B12"/>
    <mergeCell ref="A19:B19"/>
    <mergeCell ref="A7:B7"/>
    <mergeCell ref="A1:M2"/>
    <mergeCell ref="A36:M36"/>
    <mergeCell ref="A31:G31"/>
    <mergeCell ref="H31:M31"/>
    <mergeCell ref="A33:K33"/>
    <mergeCell ref="L33:M33"/>
    <mergeCell ref="A28:B28"/>
    <mergeCell ref="E29:K29"/>
    <mergeCell ref="A30:K30"/>
    <mergeCell ref="A35:M35"/>
    <mergeCell ref="A27:B27"/>
    <mergeCell ref="A20:B20"/>
    <mergeCell ref="A11:B11"/>
    <mergeCell ref="A23:B23"/>
    <mergeCell ref="A10:B10"/>
    <mergeCell ref="A15:B15"/>
    <mergeCell ref="A26:B26"/>
    <mergeCell ref="H32:M32"/>
    <mergeCell ref="A34:K34"/>
    <mergeCell ref="L34:M34"/>
    <mergeCell ref="A32:G32"/>
    <mergeCell ref="B38:M38"/>
    <mergeCell ref="B45:M45"/>
    <mergeCell ref="A25:B25"/>
    <mergeCell ref="A50:M50"/>
    <mergeCell ref="A37:M37"/>
    <mergeCell ref="A41:M41"/>
    <mergeCell ref="A43:M43"/>
    <mergeCell ref="A44:M44"/>
    <mergeCell ref="A46:M46"/>
    <mergeCell ref="A47:M47"/>
    <mergeCell ref="A49:M49"/>
    <mergeCell ref="A48:M48"/>
    <mergeCell ref="A42:M42"/>
    <mergeCell ref="A40:M40"/>
    <mergeCell ref="A39:M39"/>
    <mergeCell ref="A29:C29"/>
  </mergeCells>
  <phoneticPr fontId="17" type="noConversion"/>
  <printOptions horizontalCentered="1"/>
  <pageMargins left="0.59055118110236227" right="0.31496062992125984" top="1.1811023622047245" bottom="0.59055118110236227" header="0.51181102362204722" footer="0.51181102362204722"/>
  <pageSetup paperSize="9" scale="69" firstPageNumber="0" orientation="portrait" horizontalDpi="4294967294" verticalDpi="4294967294" r:id="rId1"/>
  <headerFooter alignWithMargins="0"/>
  <ignoredErrors>
    <ignoredError sqref="J25 J27 J16" formulaRange="1"/>
    <ignoredError sqref="F15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45"/>
  <sheetViews>
    <sheetView zoomScaleNormal="100" zoomScaleSheetLayoutView="100" workbookViewId="0">
      <selection activeCell="A3" sqref="A3:O45"/>
    </sheetView>
  </sheetViews>
  <sheetFormatPr defaultColWidth="9" defaultRowHeight="12.75" x14ac:dyDescent="0.2"/>
  <cols>
    <col min="1" max="1" width="12.5703125" customWidth="1"/>
    <col min="3" max="3" width="5.140625" customWidth="1"/>
    <col min="4" max="4" width="2" customWidth="1"/>
    <col min="5" max="5" width="5.140625" customWidth="1"/>
    <col min="6" max="6" width="4" customWidth="1"/>
    <col min="10" max="10" width="10" bestFit="1" customWidth="1"/>
    <col min="11" max="11" width="4.140625" customWidth="1"/>
    <col min="13" max="13" width="10" bestFit="1" customWidth="1"/>
    <col min="14" max="14" width="7.85546875" customWidth="1"/>
    <col min="15" max="15" width="9.140625" customWidth="1"/>
  </cols>
  <sheetData>
    <row r="1" spans="1:18" x14ac:dyDescent="0.2">
      <c r="A1" s="384"/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  <c r="O1" s="384"/>
    </row>
    <row r="2" spans="1:18" x14ac:dyDescent="0.2">
      <c r="A2" s="334"/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4"/>
      <c r="O2" s="334"/>
    </row>
    <row r="3" spans="1:18" x14ac:dyDescent="0.2">
      <c r="A3" s="357" t="s">
        <v>102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7"/>
      <c r="N3" s="274" t="s">
        <v>4</v>
      </c>
      <c r="O3" s="274"/>
    </row>
    <row r="4" spans="1:18" ht="18" x14ac:dyDescent="0.2">
      <c r="A4" s="357"/>
      <c r="B4" s="357"/>
      <c r="C4" s="357"/>
      <c r="D4" s="357"/>
      <c r="E4" s="357"/>
      <c r="F4" s="357"/>
      <c r="G4" s="357"/>
      <c r="H4" s="357"/>
      <c r="I4" s="357"/>
      <c r="J4" s="357"/>
      <c r="K4" s="357"/>
      <c r="L4" s="357"/>
      <c r="M4" s="357"/>
      <c r="N4" s="394" t="s">
        <v>103</v>
      </c>
      <c r="O4" s="394"/>
    </row>
    <row r="5" spans="1:18" x14ac:dyDescent="0.2">
      <c r="A5" s="336" t="s">
        <v>6</v>
      </c>
      <c r="B5" s="336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6"/>
      <c r="N5" s="336"/>
      <c r="O5" s="336"/>
    </row>
    <row r="6" spans="1:18" x14ac:dyDescent="0.2">
      <c r="A6" s="19" t="s">
        <v>7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17"/>
    </row>
    <row r="7" spans="1:18" x14ac:dyDescent="0.2">
      <c r="A7" s="297" t="s">
        <v>8</v>
      </c>
      <c r="B7" s="297"/>
      <c r="C7" s="297" t="s">
        <v>9</v>
      </c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297"/>
    </row>
    <row r="8" spans="1:18" x14ac:dyDescent="0.2">
      <c r="A8" s="10" t="s">
        <v>11</v>
      </c>
      <c r="B8" s="21"/>
      <c r="C8" s="364" t="str">
        <f>FSUP!E8</f>
        <v>Serviços Especializados de Assessoria Ambiental</v>
      </c>
      <c r="D8" s="364"/>
      <c r="E8" s="364"/>
      <c r="F8" s="364"/>
      <c r="G8" s="364"/>
      <c r="H8" s="364"/>
      <c r="I8" s="397"/>
      <c r="J8" s="104"/>
      <c r="K8" s="104"/>
      <c r="L8" s="104"/>
      <c r="M8" s="104"/>
      <c r="N8" s="104"/>
      <c r="O8" s="82"/>
    </row>
    <row r="9" spans="1:18" ht="13.5" customHeight="1" x14ac:dyDescent="0.2">
      <c r="A9" s="393" t="s">
        <v>104</v>
      </c>
      <c r="B9" s="393" t="s">
        <v>105</v>
      </c>
      <c r="C9" s="393"/>
      <c r="D9" s="393"/>
      <c r="E9" s="398" t="s">
        <v>106</v>
      </c>
      <c r="F9" s="398"/>
      <c r="G9" s="398"/>
      <c r="H9" s="398"/>
      <c r="I9" s="398"/>
      <c r="J9" s="398"/>
      <c r="K9" s="105"/>
      <c r="L9" s="396" t="s">
        <v>107</v>
      </c>
      <c r="M9" s="396"/>
      <c r="N9" s="396"/>
      <c r="O9" s="396"/>
    </row>
    <row r="10" spans="1:18" ht="12.75" customHeight="1" x14ac:dyDescent="0.2">
      <c r="A10" s="393"/>
      <c r="B10" s="393"/>
      <c r="C10" s="393"/>
      <c r="D10" s="393"/>
      <c r="E10" s="391" t="s">
        <v>108</v>
      </c>
      <c r="F10" s="391" t="s">
        <v>56</v>
      </c>
      <c r="G10" s="392" t="s">
        <v>109</v>
      </c>
      <c r="H10" s="392"/>
      <c r="I10" s="391" t="s">
        <v>110</v>
      </c>
      <c r="J10" s="391"/>
      <c r="K10" s="391" t="s">
        <v>56</v>
      </c>
      <c r="L10" s="391" t="s">
        <v>109</v>
      </c>
      <c r="M10" s="391"/>
      <c r="N10" s="395" t="s">
        <v>110</v>
      </c>
      <c r="O10" s="395"/>
    </row>
    <row r="11" spans="1:18" x14ac:dyDescent="0.2">
      <c r="A11" s="393"/>
      <c r="B11" s="393"/>
      <c r="C11" s="393"/>
      <c r="D11" s="393"/>
      <c r="E11" s="391"/>
      <c r="F11" s="391"/>
      <c r="G11" s="106" t="s">
        <v>111</v>
      </c>
      <c r="H11" s="204" t="s">
        <v>112</v>
      </c>
      <c r="I11" s="106" t="s">
        <v>111</v>
      </c>
      <c r="J11" s="204" t="s">
        <v>112</v>
      </c>
      <c r="K11" s="391"/>
      <c r="L11" s="106" t="s">
        <v>111</v>
      </c>
      <c r="M11" s="204" t="s">
        <v>112</v>
      </c>
      <c r="N11" s="106" t="s">
        <v>111</v>
      </c>
      <c r="O11" s="204" t="s">
        <v>112</v>
      </c>
    </row>
    <row r="12" spans="1:18" x14ac:dyDescent="0.2">
      <c r="A12" s="23"/>
      <c r="B12" s="385"/>
      <c r="C12" s="385"/>
      <c r="D12" s="385"/>
      <c r="E12" s="107"/>
      <c r="F12" s="205"/>
      <c r="G12" s="108"/>
      <c r="H12" s="22"/>
      <c r="I12" s="24"/>
      <c r="J12" s="22"/>
      <c r="K12" s="109"/>
      <c r="L12" s="110"/>
      <c r="M12" s="111"/>
      <c r="N12" s="112"/>
      <c r="O12" s="111"/>
    </row>
    <row r="13" spans="1:18" x14ac:dyDescent="0.2">
      <c r="A13" s="23" t="s">
        <v>113</v>
      </c>
      <c r="B13" s="385" t="s">
        <v>114</v>
      </c>
      <c r="C13" s="385"/>
      <c r="D13" s="385"/>
      <c r="E13" s="107" t="s">
        <v>84</v>
      </c>
      <c r="F13" s="205">
        <v>211</v>
      </c>
      <c r="G13" s="108">
        <v>800</v>
      </c>
      <c r="H13" s="22">
        <f>ROUND(G13*F13,2)</f>
        <v>168800</v>
      </c>
      <c r="I13" s="24">
        <f>((1+0.1)*(1+'FSUP-VI Det. Desp Fiscais'!$G$29%)*G13)</f>
        <v>997.12800000000004</v>
      </c>
      <c r="J13" s="206">
        <f>ROUND(F13*I13,2)</f>
        <v>210394.01</v>
      </c>
      <c r="K13" s="207">
        <v>1804</v>
      </c>
      <c r="L13" s="208">
        <v>148.22</v>
      </c>
      <c r="M13" s="209">
        <f>ROUND(L13*K13,2)</f>
        <v>267388.88</v>
      </c>
      <c r="N13" s="210">
        <f>((1+0.1)*(1+'FSUP-VI Det. Desp Fiscais'!$G$29%)*L13)</f>
        <v>184.74289020000001</v>
      </c>
      <c r="O13" s="209">
        <f>ROUND(K13*N13,2)</f>
        <v>333276.17</v>
      </c>
      <c r="R13">
        <f>274.69/1804</f>
        <v>0.1522671840354767</v>
      </c>
    </row>
    <row r="14" spans="1:18" x14ac:dyDescent="0.2">
      <c r="A14" s="23"/>
      <c r="B14" s="385"/>
      <c r="C14" s="385"/>
      <c r="D14" s="385"/>
      <c r="E14" s="107"/>
      <c r="F14" s="205"/>
      <c r="G14" s="108"/>
      <c r="H14" s="22"/>
      <c r="I14" s="24"/>
      <c r="J14" s="22"/>
      <c r="K14" s="113"/>
      <c r="L14" s="114"/>
      <c r="M14" s="115"/>
      <c r="N14" s="116"/>
      <c r="O14" s="115"/>
    </row>
    <row r="15" spans="1:18" x14ac:dyDescent="0.2">
      <c r="A15" s="211"/>
      <c r="B15" s="388"/>
      <c r="C15" s="389"/>
      <c r="D15" s="390"/>
      <c r="E15" s="107"/>
      <c r="F15" s="205"/>
      <c r="G15" s="108"/>
      <c r="H15" s="111"/>
      <c r="I15" s="24"/>
      <c r="J15" s="24"/>
      <c r="K15" s="107"/>
      <c r="L15" s="117"/>
      <c r="M15" s="22"/>
      <c r="N15" s="24"/>
      <c r="O15" s="22"/>
    </row>
    <row r="16" spans="1:18" x14ac:dyDescent="0.2">
      <c r="A16" s="107"/>
      <c r="B16" s="388"/>
      <c r="C16" s="389"/>
      <c r="D16" s="390"/>
      <c r="E16" s="107"/>
      <c r="F16" s="205"/>
      <c r="G16" s="258"/>
      <c r="H16" s="260"/>
      <c r="I16" s="259"/>
      <c r="J16" s="24"/>
      <c r="K16" s="107"/>
      <c r="L16" s="117"/>
      <c r="M16" s="22"/>
      <c r="N16" s="24"/>
      <c r="O16" s="22"/>
    </row>
    <row r="17" spans="1:15" x14ac:dyDescent="0.2">
      <c r="A17" s="23"/>
      <c r="B17" s="388"/>
      <c r="C17" s="389"/>
      <c r="D17" s="390"/>
      <c r="E17" s="107"/>
      <c r="F17" s="205"/>
      <c r="G17" s="258"/>
      <c r="H17" s="260"/>
      <c r="I17" s="259"/>
      <c r="J17" s="24"/>
      <c r="K17" s="107"/>
      <c r="L17" s="22"/>
      <c r="M17" s="22"/>
      <c r="N17" s="24"/>
      <c r="O17" s="22"/>
    </row>
    <row r="18" spans="1:15" x14ac:dyDescent="0.2">
      <c r="A18" s="23"/>
      <c r="B18" s="388"/>
      <c r="C18" s="389"/>
      <c r="D18" s="390"/>
      <c r="E18" s="107"/>
      <c r="F18" s="205"/>
      <c r="G18" s="258"/>
      <c r="H18" s="260"/>
      <c r="I18" s="259"/>
      <c r="J18" s="24"/>
      <c r="K18" s="24"/>
      <c r="L18" s="22"/>
      <c r="M18" s="22"/>
      <c r="N18" s="24"/>
      <c r="O18" s="22"/>
    </row>
    <row r="19" spans="1:15" x14ac:dyDescent="0.2">
      <c r="A19" s="118"/>
      <c r="B19" s="388"/>
      <c r="C19" s="389"/>
      <c r="D19" s="390"/>
      <c r="E19" s="107"/>
      <c r="F19" s="205"/>
      <c r="G19" s="258"/>
      <c r="H19" s="260"/>
      <c r="I19" s="259"/>
      <c r="J19" s="24"/>
      <c r="K19" s="24"/>
      <c r="L19" s="22"/>
      <c r="M19" s="22"/>
      <c r="N19" s="24"/>
      <c r="O19" s="22"/>
    </row>
    <row r="20" spans="1:15" x14ac:dyDescent="0.2">
      <c r="A20" s="118"/>
      <c r="B20" s="385"/>
      <c r="C20" s="385"/>
      <c r="D20" s="385"/>
      <c r="E20" s="23"/>
      <c r="F20" s="205"/>
      <c r="G20" s="258"/>
      <c r="H20" s="261"/>
      <c r="I20" s="259"/>
      <c r="J20" s="24"/>
      <c r="K20" s="24"/>
      <c r="L20" s="22"/>
      <c r="M20" s="22"/>
      <c r="N20" s="24"/>
      <c r="O20" s="22"/>
    </row>
    <row r="21" spans="1:15" x14ac:dyDescent="0.2">
      <c r="A21" s="118"/>
      <c r="B21" s="385"/>
      <c r="C21" s="385"/>
      <c r="D21" s="385"/>
      <c r="E21" s="23"/>
      <c r="F21" s="23"/>
      <c r="G21" s="24"/>
      <c r="H21" s="116"/>
      <c r="I21" s="24"/>
      <c r="J21" s="24"/>
      <c r="K21" s="24"/>
      <c r="L21" s="22"/>
      <c r="M21" s="22"/>
      <c r="N21" s="24"/>
      <c r="O21" s="22"/>
    </row>
    <row r="22" spans="1:15" x14ac:dyDescent="0.2">
      <c r="A22" s="118"/>
      <c r="B22" s="385"/>
      <c r="C22" s="385"/>
      <c r="D22" s="385"/>
      <c r="E22" s="23"/>
      <c r="F22" s="23"/>
      <c r="G22" s="24"/>
      <c r="H22" s="24"/>
      <c r="I22" s="24"/>
      <c r="J22" s="24"/>
      <c r="K22" s="24"/>
      <c r="L22" s="22"/>
      <c r="M22" s="22"/>
      <c r="N22" s="24"/>
      <c r="O22" s="22"/>
    </row>
    <row r="23" spans="1:15" x14ac:dyDescent="0.2">
      <c r="A23" s="118"/>
      <c r="B23" s="385"/>
      <c r="C23" s="385"/>
      <c r="D23" s="385"/>
      <c r="E23" s="23"/>
      <c r="F23" s="23"/>
      <c r="G23" s="24"/>
      <c r="H23" s="24"/>
      <c r="I23" s="24"/>
      <c r="J23" s="24"/>
      <c r="K23" s="24"/>
      <c r="L23" s="22"/>
      <c r="M23" s="22"/>
      <c r="N23" s="24"/>
      <c r="O23" s="22"/>
    </row>
    <row r="24" spans="1:15" x14ac:dyDescent="0.2">
      <c r="A24" s="118"/>
      <c r="B24" s="385"/>
      <c r="C24" s="385"/>
      <c r="D24" s="385"/>
      <c r="E24" s="23"/>
      <c r="F24" s="23"/>
      <c r="G24" s="24"/>
      <c r="H24" s="24"/>
      <c r="I24" s="24"/>
      <c r="J24" s="24"/>
      <c r="K24" s="24"/>
      <c r="L24" s="22"/>
      <c r="M24" s="22"/>
      <c r="N24" s="24"/>
      <c r="O24" s="22"/>
    </row>
    <row r="25" spans="1:15" x14ac:dyDescent="0.2">
      <c r="A25" s="118"/>
      <c r="B25" s="386"/>
      <c r="C25" s="386"/>
      <c r="D25" s="386"/>
      <c r="E25" s="23"/>
      <c r="F25" s="23"/>
      <c r="G25" s="24"/>
      <c r="H25" s="24"/>
      <c r="I25" s="24"/>
      <c r="J25" s="24"/>
      <c r="K25" s="24"/>
      <c r="L25" s="22"/>
      <c r="M25" s="22"/>
      <c r="N25" s="24"/>
      <c r="O25" s="22"/>
    </row>
    <row r="26" spans="1:15" x14ac:dyDescent="0.2">
      <c r="A26" s="118"/>
      <c r="B26" s="386"/>
      <c r="C26" s="386"/>
      <c r="D26" s="386"/>
      <c r="E26" s="23"/>
      <c r="F26" s="23"/>
      <c r="G26" s="24"/>
      <c r="H26" s="24"/>
      <c r="I26" s="24"/>
      <c r="J26" s="24"/>
      <c r="K26" s="24"/>
      <c r="L26" s="22"/>
      <c r="M26" s="22"/>
      <c r="N26" s="24"/>
      <c r="O26" s="22"/>
    </row>
    <row r="27" spans="1:15" x14ac:dyDescent="0.2">
      <c r="A27" s="118"/>
      <c r="B27" s="386"/>
      <c r="C27" s="386"/>
      <c r="D27" s="386"/>
      <c r="E27" s="23"/>
      <c r="F27" s="23"/>
      <c r="G27" s="24"/>
      <c r="H27" s="24"/>
      <c r="I27" s="24"/>
      <c r="J27" s="24"/>
      <c r="K27" s="24"/>
      <c r="L27" s="22"/>
      <c r="M27" s="22"/>
      <c r="N27" s="24"/>
      <c r="O27" s="22"/>
    </row>
    <row r="28" spans="1:15" x14ac:dyDescent="0.2">
      <c r="A28" s="118"/>
      <c r="B28" s="386"/>
      <c r="C28" s="386"/>
      <c r="D28" s="386"/>
      <c r="E28" s="23"/>
      <c r="F28" s="23"/>
      <c r="G28" s="24"/>
      <c r="H28" s="24"/>
      <c r="I28" s="24"/>
      <c r="J28" s="24"/>
      <c r="K28" s="24"/>
      <c r="L28" s="22"/>
      <c r="M28" s="22"/>
      <c r="N28" s="24"/>
      <c r="O28" s="22"/>
    </row>
    <row r="29" spans="1:15" x14ac:dyDescent="0.2">
      <c r="A29" s="118"/>
      <c r="B29" s="386"/>
      <c r="C29" s="386"/>
      <c r="D29" s="386"/>
      <c r="E29" s="23"/>
      <c r="F29" s="119"/>
      <c r="G29" s="120"/>
      <c r="H29" s="24"/>
      <c r="I29" s="24"/>
      <c r="J29" s="24"/>
      <c r="K29" s="24"/>
      <c r="L29" s="119"/>
      <c r="M29" s="22"/>
      <c r="N29" s="24"/>
      <c r="O29" s="22"/>
    </row>
    <row r="30" spans="1:15" x14ac:dyDescent="0.2">
      <c r="A30" s="118"/>
      <c r="B30" s="386"/>
      <c r="C30" s="386"/>
      <c r="D30" s="386"/>
      <c r="E30" s="23"/>
      <c r="F30" s="23"/>
      <c r="G30" s="24"/>
      <c r="H30" s="24"/>
      <c r="I30" s="24"/>
      <c r="J30" s="24"/>
      <c r="K30" s="24"/>
      <c r="L30" s="24"/>
      <c r="M30" s="22"/>
      <c r="N30" s="24"/>
      <c r="O30" s="22"/>
    </row>
    <row r="31" spans="1:15" x14ac:dyDescent="0.2">
      <c r="A31" s="387" t="s">
        <v>115</v>
      </c>
      <c r="B31" s="387"/>
      <c r="C31" s="387"/>
      <c r="D31" s="387"/>
      <c r="E31" s="387"/>
      <c r="F31" s="387"/>
      <c r="G31" s="22"/>
      <c r="H31" s="121">
        <f>SUM(H12:H30)</f>
        <v>168800</v>
      </c>
      <c r="I31" s="22"/>
      <c r="J31" s="121">
        <f>SUM(J12:J30)</f>
        <v>210394.01</v>
      </c>
      <c r="K31" s="121"/>
      <c r="L31" s="22"/>
      <c r="M31" s="121">
        <f>SUM(M12:M30)</f>
        <v>267388.88</v>
      </c>
      <c r="N31" s="22"/>
      <c r="O31" s="122">
        <f>SUM(O12:O30)</f>
        <v>333276.17</v>
      </c>
    </row>
    <row r="32" spans="1:15" x14ac:dyDescent="0.2">
      <c r="A32" s="336" t="s">
        <v>36</v>
      </c>
      <c r="B32" s="336"/>
      <c r="C32" s="336"/>
      <c r="D32" s="336"/>
      <c r="E32" s="336"/>
      <c r="F32" s="336"/>
      <c r="G32" s="337" t="s">
        <v>37</v>
      </c>
      <c r="H32" s="337"/>
      <c r="I32" s="337"/>
      <c r="J32" s="337"/>
      <c r="K32" s="337"/>
      <c r="L32" s="337"/>
      <c r="M32" s="337"/>
      <c r="N32" s="337"/>
      <c r="O32" s="337"/>
    </row>
    <row r="33" spans="1:15" x14ac:dyDescent="0.2">
      <c r="A33" s="298" t="s">
        <v>38</v>
      </c>
      <c r="B33" s="298"/>
      <c r="C33" s="298"/>
      <c r="D33" s="298"/>
      <c r="E33" s="298"/>
      <c r="F33" s="298"/>
      <c r="G33" s="298" t="s">
        <v>39</v>
      </c>
      <c r="H33" s="298"/>
      <c r="I33" s="298"/>
      <c r="J33" s="298"/>
      <c r="K33" s="298"/>
      <c r="L33" s="298"/>
      <c r="M33" s="298"/>
      <c r="N33" s="298"/>
      <c r="O33" s="298"/>
    </row>
    <row r="34" spans="1:15" x14ac:dyDescent="0.2">
      <c r="A34" s="321" t="s">
        <v>40</v>
      </c>
      <c r="B34" s="321"/>
      <c r="C34" s="321"/>
      <c r="D34" s="321"/>
      <c r="E34" s="321"/>
      <c r="F34" s="321"/>
      <c r="G34" s="321"/>
      <c r="H34" s="321"/>
      <c r="I34" s="321"/>
      <c r="J34" s="321"/>
      <c r="K34" s="321"/>
      <c r="L34" s="321"/>
      <c r="M34" s="297" t="s">
        <v>41</v>
      </c>
      <c r="N34" s="297"/>
      <c r="O34" s="297"/>
    </row>
    <row r="35" spans="1:15" ht="31.5" customHeight="1" x14ac:dyDescent="0.2">
      <c r="A35" s="321"/>
      <c r="B35" s="321"/>
      <c r="C35" s="321"/>
      <c r="D35" s="321"/>
      <c r="E35" s="321"/>
      <c r="F35" s="321"/>
      <c r="G35" s="321"/>
      <c r="H35" s="321"/>
      <c r="I35" s="321"/>
      <c r="J35" s="321"/>
      <c r="K35" s="321"/>
      <c r="L35" s="321"/>
      <c r="M35" s="377">
        <v>45281</v>
      </c>
      <c r="N35" s="321"/>
      <c r="O35" s="321"/>
    </row>
    <row r="36" spans="1:15" x14ac:dyDescent="0.2">
      <c r="A36" s="378" t="s">
        <v>116</v>
      </c>
      <c r="B36" s="379"/>
      <c r="C36" s="379"/>
      <c r="D36" s="379"/>
      <c r="E36" s="379"/>
      <c r="F36" s="379"/>
      <c r="G36" s="379"/>
      <c r="H36" s="379"/>
      <c r="I36" s="379"/>
      <c r="J36" s="379"/>
      <c r="K36" s="379"/>
      <c r="L36" s="379"/>
      <c r="M36" s="379"/>
      <c r="N36" s="379"/>
      <c r="O36" s="380"/>
    </row>
    <row r="37" spans="1:15" x14ac:dyDescent="0.2">
      <c r="A37" s="123" t="s">
        <v>117</v>
      </c>
      <c r="B37" s="124"/>
      <c r="C37" s="124"/>
      <c r="D37" s="124"/>
      <c r="E37" s="124"/>
      <c r="F37" s="124"/>
      <c r="G37" s="124"/>
      <c r="H37" s="124"/>
      <c r="I37" s="124"/>
      <c r="J37" s="125"/>
      <c r="K37" s="125"/>
      <c r="L37" s="125"/>
      <c r="M37" s="125"/>
      <c r="N37" s="125"/>
      <c r="O37" s="126"/>
    </row>
    <row r="38" spans="1:15" x14ac:dyDescent="0.2">
      <c r="A38" s="381" t="s">
        <v>118</v>
      </c>
      <c r="B38" s="382"/>
      <c r="C38" s="382"/>
      <c r="D38" s="382"/>
      <c r="E38" s="382"/>
      <c r="F38" s="382"/>
      <c r="G38" s="382"/>
      <c r="H38" s="382"/>
      <c r="I38" s="382"/>
      <c r="J38" s="382"/>
      <c r="K38" s="382"/>
      <c r="L38" s="382"/>
      <c r="M38" s="382"/>
      <c r="N38" s="382"/>
      <c r="O38" s="383"/>
    </row>
    <row r="39" spans="1:15" x14ac:dyDescent="0.2">
      <c r="A39" s="381" t="s">
        <v>119</v>
      </c>
      <c r="B39" s="382"/>
      <c r="C39" s="382"/>
      <c r="D39" s="382"/>
      <c r="E39" s="382"/>
      <c r="F39" s="382"/>
      <c r="G39" s="382"/>
      <c r="H39" s="382"/>
      <c r="I39" s="382"/>
      <c r="J39" s="382"/>
      <c r="K39" s="382"/>
      <c r="L39" s="382"/>
      <c r="M39" s="382"/>
      <c r="N39" s="382"/>
      <c r="O39" s="383"/>
    </row>
    <row r="40" spans="1:15" x14ac:dyDescent="0.2">
      <c r="A40" s="381" t="s">
        <v>120</v>
      </c>
      <c r="B40" s="382"/>
      <c r="C40" s="382"/>
      <c r="D40" s="382"/>
      <c r="E40" s="382"/>
      <c r="F40" s="382"/>
      <c r="G40" s="382"/>
      <c r="H40" s="382"/>
      <c r="I40" s="382"/>
      <c r="J40" s="382"/>
      <c r="K40" s="382"/>
      <c r="L40" s="382"/>
      <c r="M40" s="382"/>
      <c r="N40" s="382"/>
      <c r="O40" s="383"/>
    </row>
    <row r="41" spans="1:15" x14ac:dyDescent="0.2">
      <c r="A41" s="374" t="s">
        <v>121</v>
      </c>
      <c r="B41" s="375"/>
      <c r="C41" s="375"/>
      <c r="D41" s="375"/>
      <c r="E41" s="375"/>
      <c r="F41" s="375"/>
      <c r="G41" s="375"/>
      <c r="H41" s="375"/>
      <c r="I41" s="375"/>
      <c r="J41" s="375"/>
      <c r="K41" s="375"/>
      <c r="L41" s="375"/>
      <c r="M41" s="375"/>
      <c r="N41" s="375"/>
      <c r="O41" s="376"/>
    </row>
    <row r="42" spans="1:15" x14ac:dyDescent="0.2">
      <c r="A42" s="127" t="s">
        <v>122</v>
      </c>
      <c r="B42" s="125"/>
      <c r="C42" s="125"/>
      <c r="D42" s="125"/>
      <c r="E42" s="125"/>
      <c r="F42" s="125"/>
      <c r="G42" s="125"/>
      <c r="H42" s="125"/>
      <c r="I42" s="125"/>
      <c r="J42" s="125"/>
      <c r="K42" s="125"/>
      <c r="L42" s="125"/>
      <c r="M42" s="125"/>
      <c r="N42" s="125"/>
      <c r="O42" s="126"/>
    </row>
    <row r="43" spans="1:15" x14ac:dyDescent="0.2">
      <c r="A43" s="374" t="str">
        <f>CONCATENATE(";6 - PREÇO = CUSTO + LUCRO+ DESPESAS FISCAIS E SERÁ CALCULADO COM A SEGUINTE FORMULA:CUSTO*(1+0,1)*(1+",'FSUP-VI Det. Desp Fiscais'!G29,"%)")</f>
        <v>;6 - PREÇO = CUSTO + LUCRO+ DESPESAS FISCAIS E SERÁ CALCULADO COM A SEGUINTE FORMULA:CUSTO*(1+0,1)*(1+13,31%)</v>
      </c>
      <c r="B43" s="375"/>
      <c r="C43" s="375"/>
      <c r="D43" s="375"/>
      <c r="E43" s="375"/>
      <c r="F43" s="375"/>
      <c r="G43" s="375"/>
      <c r="H43" s="375"/>
      <c r="I43" s="375"/>
      <c r="J43" s="375"/>
      <c r="K43" s="375"/>
      <c r="L43" s="375"/>
      <c r="M43" s="375"/>
      <c r="N43" s="375"/>
      <c r="O43" s="376"/>
    </row>
    <row r="44" spans="1:15" x14ac:dyDescent="0.2">
      <c r="A44" s="123" t="s">
        <v>123</v>
      </c>
      <c r="B44" s="124"/>
      <c r="C44" s="124"/>
      <c r="D44" s="124"/>
      <c r="E44" s="124"/>
      <c r="F44" s="124"/>
      <c r="G44" s="124"/>
      <c r="H44" s="125"/>
      <c r="I44" s="125"/>
      <c r="J44" s="125"/>
      <c r="K44" s="125"/>
      <c r="L44" s="125"/>
      <c r="M44" s="125"/>
      <c r="N44" s="125"/>
      <c r="O44" s="126"/>
    </row>
    <row r="45" spans="1:15" x14ac:dyDescent="0.2">
      <c r="A45" s="123" t="s">
        <v>124</v>
      </c>
      <c r="B45" s="124"/>
      <c r="C45" s="124"/>
      <c r="D45" s="124"/>
      <c r="E45" s="124"/>
      <c r="F45" s="124"/>
      <c r="G45" s="124"/>
      <c r="H45" s="125"/>
      <c r="I45" s="125"/>
      <c r="J45" s="125"/>
      <c r="K45" s="125"/>
      <c r="L45" s="125"/>
      <c r="M45" s="125"/>
      <c r="N45" s="125"/>
      <c r="O45" s="126"/>
    </row>
  </sheetData>
  <sheetProtection selectLockedCells="1" selectUnlockedCells="1"/>
  <mergeCells count="53">
    <mergeCell ref="A3:M4"/>
    <mergeCell ref="N3:O3"/>
    <mergeCell ref="N4:O4"/>
    <mergeCell ref="A5:O5"/>
    <mergeCell ref="N10:O10"/>
    <mergeCell ref="L9:O9"/>
    <mergeCell ref="A9:A11"/>
    <mergeCell ref="C8:I8"/>
    <mergeCell ref="L10:M10"/>
    <mergeCell ref="E9:J9"/>
    <mergeCell ref="E10:E11"/>
    <mergeCell ref="F10:F11"/>
    <mergeCell ref="A7:B7"/>
    <mergeCell ref="C7:O7"/>
    <mergeCell ref="I10:J10"/>
    <mergeCell ref="B26:D26"/>
    <mergeCell ref="B25:D25"/>
    <mergeCell ref="B15:D15"/>
    <mergeCell ref="K10:K11"/>
    <mergeCell ref="G10:H10"/>
    <mergeCell ref="B24:D24"/>
    <mergeCell ref="B12:D12"/>
    <mergeCell ref="B14:D14"/>
    <mergeCell ref="B9:D11"/>
    <mergeCell ref="B16:D16"/>
    <mergeCell ref="B17:D17"/>
    <mergeCell ref="B18:D18"/>
    <mergeCell ref="B19:D19"/>
    <mergeCell ref="B13:D13"/>
    <mergeCell ref="A1:O2"/>
    <mergeCell ref="B21:D21"/>
    <mergeCell ref="A33:F33"/>
    <mergeCell ref="G33:O33"/>
    <mergeCell ref="A34:L34"/>
    <mergeCell ref="M34:O34"/>
    <mergeCell ref="B20:D20"/>
    <mergeCell ref="G32:O32"/>
    <mergeCell ref="B28:D28"/>
    <mergeCell ref="B29:D29"/>
    <mergeCell ref="B30:D30"/>
    <mergeCell ref="A31:F31"/>
    <mergeCell ref="A32:F32"/>
    <mergeCell ref="B22:D22"/>
    <mergeCell ref="B23:D23"/>
    <mergeCell ref="B27:D27"/>
    <mergeCell ref="A43:O43"/>
    <mergeCell ref="M35:O35"/>
    <mergeCell ref="A36:O36"/>
    <mergeCell ref="A38:O38"/>
    <mergeCell ref="A35:L35"/>
    <mergeCell ref="A39:O39"/>
    <mergeCell ref="A40:O40"/>
    <mergeCell ref="A41:O41"/>
  </mergeCells>
  <phoneticPr fontId="17" type="noConversion"/>
  <pageMargins left="0.87" right="0.78749999999999998" top="1.5201388888888889" bottom="0.52986111111111112" header="0.51180555555555551" footer="0.51180555555555551"/>
  <pageSetup paperSize="9" scale="77" firstPageNumber="0" orientation="landscape" horizontalDpi="4294967294" vertic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54"/>
  <sheetViews>
    <sheetView showGridLines="0" zoomScaleNormal="100" zoomScaleSheetLayoutView="100" workbookViewId="0">
      <selection activeCell="A3" sqref="A3:K55"/>
    </sheetView>
  </sheetViews>
  <sheetFormatPr defaultColWidth="10.85546875" defaultRowHeight="15" customHeight="1" x14ac:dyDescent="0.2"/>
  <cols>
    <col min="1" max="1" width="7.140625" style="128" customWidth="1"/>
    <col min="2" max="2" width="6.140625" style="128" customWidth="1"/>
    <col min="3" max="3" width="11.5703125" style="128" customWidth="1"/>
    <col min="4" max="4" width="15.85546875" style="128" customWidth="1"/>
    <col min="5" max="5" width="20.140625" style="128" customWidth="1"/>
    <col min="6" max="6" width="5.42578125" style="128" customWidth="1"/>
    <col min="7" max="7" width="11.140625" style="162" customWidth="1"/>
    <col min="8" max="8" width="12.5703125" style="128" customWidth="1"/>
    <col min="9" max="9" width="11.140625" style="128" customWidth="1"/>
    <col min="10" max="10" width="8.85546875" style="128" customWidth="1"/>
    <col min="11" max="11" width="13.42578125" style="128" customWidth="1"/>
    <col min="12" max="16384" width="10.85546875" style="128"/>
  </cols>
  <sheetData>
    <row r="1" spans="1:17" ht="15" customHeight="1" x14ac:dyDescent="0.2">
      <c r="A1" s="421"/>
      <c r="B1" s="421"/>
      <c r="C1" s="421"/>
      <c r="D1" s="421"/>
      <c r="E1" s="421"/>
      <c r="F1" s="421"/>
      <c r="G1" s="421"/>
      <c r="H1" s="421"/>
      <c r="I1" s="421"/>
      <c r="J1" s="421"/>
      <c r="K1" s="421"/>
    </row>
    <row r="2" spans="1:17" ht="15" customHeight="1" x14ac:dyDescent="0.2">
      <c r="A2" s="422"/>
      <c r="B2" s="422"/>
      <c r="C2" s="422"/>
      <c r="D2" s="422"/>
      <c r="E2" s="422"/>
      <c r="F2" s="422"/>
      <c r="G2" s="422"/>
      <c r="H2" s="422"/>
      <c r="I2" s="422"/>
      <c r="J2" s="422"/>
      <c r="K2" s="422"/>
    </row>
    <row r="3" spans="1:17" ht="15" customHeight="1" thickBot="1" x14ac:dyDescent="0.25">
      <c r="A3" s="357" t="s">
        <v>125</v>
      </c>
      <c r="B3" s="357"/>
      <c r="C3" s="357"/>
      <c r="D3" s="357"/>
      <c r="E3" s="357"/>
      <c r="F3" s="357"/>
      <c r="G3" s="357"/>
      <c r="H3" s="357"/>
      <c r="I3" s="357"/>
      <c r="J3" s="274" t="s">
        <v>4</v>
      </c>
      <c r="K3" s="274"/>
    </row>
    <row r="4" spans="1:17" ht="15" customHeight="1" x14ac:dyDescent="0.2">
      <c r="A4" s="357"/>
      <c r="B4" s="357"/>
      <c r="C4" s="357"/>
      <c r="D4" s="357"/>
      <c r="E4" s="357"/>
      <c r="F4" s="357"/>
      <c r="G4" s="357"/>
      <c r="H4" s="357"/>
      <c r="I4" s="357"/>
      <c r="J4" s="394" t="s">
        <v>126</v>
      </c>
      <c r="K4" s="394"/>
    </row>
    <row r="5" spans="1:17" ht="12.6" customHeight="1" x14ac:dyDescent="0.2">
      <c r="A5" s="435" t="s">
        <v>6</v>
      </c>
      <c r="B5" s="435"/>
      <c r="C5" s="435"/>
      <c r="D5" s="435"/>
      <c r="E5" s="435"/>
      <c r="F5" s="435"/>
      <c r="G5" s="435"/>
      <c r="H5" s="435"/>
      <c r="I5" s="435"/>
      <c r="J5" s="435"/>
      <c r="K5" s="435"/>
    </row>
    <row r="6" spans="1:17" ht="12.6" customHeight="1" x14ac:dyDescent="0.2">
      <c r="A6" s="437" t="s">
        <v>7</v>
      </c>
      <c r="B6" s="438"/>
      <c r="C6" s="438"/>
      <c r="D6" s="438"/>
      <c r="E6" s="438"/>
      <c r="F6" s="438"/>
      <c r="G6" s="438"/>
      <c r="H6" s="438"/>
      <c r="I6" s="438"/>
      <c r="J6" s="129"/>
      <c r="K6" s="130"/>
    </row>
    <row r="7" spans="1:17" ht="12.6" customHeight="1" x14ac:dyDescent="0.2">
      <c r="A7" s="423" t="s">
        <v>8</v>
      </c>
      <c r="B7" s="423"/>
      <c r="C7" s="423" t="s">
        <v>9</v>
      </c>
      <c r="D7" s="423"/>
      <c r="E7" s="423"/>
      <c r="F7" s="423"/>
      <c r="G7" s="423"/>
      <c r="H7" s="423"/>
      <c r="I7" s="423"/>
      <c r="J7" s="424" t="s">
        <v>10</v>
      </c>
      <c r="K7" s="424"/>
    </row>
    <row r="8" spans="1:17" ht="12.6" customHeight="1" x14ac:dyDescent="0.2">
      <c r="A8" s="364" t="s">
        <v>127</v>
      </c>
      <c r="B8" s="364"/>
      <c r="C8" s="364" t="str">
        <f>FSUP!E8</f>
        <v>Serviços Especializados de Assessoria Ambiental</v>
      </c>
      <c r="D8" s="364"/>
      <c r="E8" s="364"/>
      <c r="F8" s="364"/>
      <c r="G8" s="364"/>
      <c r="H8" s="364"/>
      <c r="I8" s="364"/>
      <c r="J8" s="436" t="s">
        <v>13</v>
      </c>
      <c r="K8" s="436"/>
    </row>
    <row r="9" spans="1:17" ht="11.85" customHeight="1" thickTop="1" x14ac:dyDescent="0.2">
      <c r="A9" s="425" t="s">
        <v>128</v>
      </c>
      <c r="B9" s="425"/>
      <c r="C9" s="425"/>
      <c r="D9" s="425"/>
      <c r="E9" s="425"/>
      <c r="F9" s="426" t="s">
        <v>129</v>
      </c>
      <c r="G9" s="427" t="s">
        <v>56</v>
      </c>
      <c r="H9" s="428" t="s">
        <v>130</v>
      </c>
      <c r="I9" s="428"/>
      <c r="J9" s="428" t="s">
        <v>131</v>
      </c>
      <c r="K9" s="428"/>
    </row>
    <row r="10" spans="1:17" ht="11.85" customHeight="1" x14ac:dyDescent="0.2">
      <c r="A10" s="425"/>
      <c r="B10" s="425"/>
      <c r="C10" s="425"/>
      <c r="D10" s="425"/>
      <c r="E10" s="425"/>
      <c r="F10" s="426"/>
      <c r="G10" s="427"/>
      <c r="H10" s="131" t="s">
        <v>132</v>
      </c>
      <c r="I10" s="212" t="s">
        <v>112</v>
      </c>
      <c r="J10" s="132" t="s">
        <v>132</v>
      </c>
      <c r="K10" s="132" t="s">
        <v>112</v>
      </c>
      <c r="L10"/>
      <c r="M10"/>
      <c r="N10"/>
      <c r="O10"/>
      <c r="P10"/>
      <c r="Q10"/>
    </row>
    <row r="11" spans="1:17" ht="15" customHeight="1" x14ac:dyDescent="0.2">
      <c r="A11" s="439" t="s">
        <v>133</v>
      </c>
      <c r="B11" s="439"/>
      <c r="C11" s="439"/>
      <c r="D11" s="439"/>
      <c r="E11" s="439"/>
      <c r="F11" s="81"/>
      <c r="G11" s="133"/>
      <c r="H11" s="134"/>
      <c r="I11" s="213"/>
      <c r="J11" s="214"/>
      <c r="K11" s="213"/>
      <c r="L11"/>
      <c r="M11"/>
      <c r="N11"/>
      <c r="O11"/>
      <c r="P11"/>
      <c r="Q11"/>
    </row>
    <row r="12" spans="1:17" ht="15" customHeight="1" x14ac:dyDescent="0.2">
      <c r="A12" s="439" t="s">
        <v>134</v>
      </c>
      <c r="B12" s="439"/>
      <c r="C12" s="439"/>
      <c r="D12" s="439"/>
      <c r="E12" s="439"/>
      <c r="F12" s="81" t="s">
        <v>135</v>
      </c>
      <c r="G12" s="133">
        <v>183</v>
      </c>
      <c r="H12" s="80">
        <v>6500</v>
      </c>
      <c r="I12" s="215">
        <f>ROUND(G12*H12,2)</f>
        <v>1189500</v>
      </c>
      <c r="J12" s="216">
        <f>((1+0.1)*(1+'FSUP-VI Det. Desp Fiscais'!$G$29/100)*H12)</f>
        <v>8101.665</v>
      </c>
      <c r="K12" s="217">
        <f>ROUND(G12*J12,2)</f>
        <v>1482604.7</v>
      </c>
      <c r="L12"/>
      <c r="M12"/>
      <c r="N12"/>
      <c r="O12"/>
      <c r="P12"/>
      <c r="Q12"/>
    </row>
    <row r="13" spans="1:17" ht="15" customHeight="1" x14ac:dyDescent="0.2">
      <c r="A13" s="439" t="s">
        <v>136</v>
      </c>
      <c r="B13" s="439"/>
      <c r="C13" s="439"/>
      <c r="D13" s="439"/>
      <c r="E13" s="439"/>
      <c r="F13" s="81" t="s">
        <v>135</v>
      </c>
      <c r="G13" s="133">
        <v>102</v>
      </c>
      <c r="H13" s="80">
        <v>3000</v>
      </c>
      <c r="I13" s="215">
        <f>ROUND(G13*H13,2)</f>
        <v>306000</v>
      </c>
      <c r="J13" s="216">
        <f>((1+0.1)*(1+'FSUP-VI Det. Desp Fiscais'!$G$29/100)*H13)</f>
        <v>3739.23</v>
      </c>
      <c r="K13" s="217">
        <f>ROUND(G13*J13,2)</f>
        <v>381401.46</v>
      </c>
      <c r="L13"/>
      <c r="M13"/>
      <c r="N13"/>
      <c r="O13"/>
      <c r="P13"/>
      <c r="Q13"/>
    </row>
    <row r="14" spans="1:17" ht="15" customHeight="1" x14ac:dyDescent="0.2">
      <c r="A14" s="439" t="s">
        <v>137</v>
      </c>
      <c r="B14" s="439"/>
      <c r="C14" s="439"/>
      <c r="D14" s="439"/>
      <c r="E14" s="439"/>
      <c r="F14" s="81" t="s">
        <v>135</v>
      </c>
      <c r="G14" s="135">
        <v>1</v>
      </c>
      <c r="H14" s="80">
        <v>1711.76</v>
      </c>
      <c r="I14" s="80">
        <f>ROUND(G14*H14,2)</f>
        <v>1711.76</v>
      </c>
      <c r="J14" s="216">
        <f>((1+0.1)*(1+'FSUP-VI Det. Desp Fiscais'!$G$29/100)*H14)</f>
        <v>2133.5547815999998</v>
      </c>
      <c r="K14" s="80">
        <f>ROUND(G14*J14,2)</f>
        <v>2133.5500000000002</v>
      </c>
      <c r="L14"/>
      <c r="M14"/>
      <c r="N14"/>
      <c r="O14"/>
      <c r="P14"/>
      <c r="Q14"/>
    </row>
    <row r="15" spans="1:17" ht="15" customHeight="1" thickBot="1" x14ac:dyDescent="0.25">
      <c r="A15" s="412" t="s">
        <v>138</v>
      </c>
      <c r="B15" s="412"/>
      <c r="C15" s="412"/>
      <c r="D15" s="412"/>
      <c r="E15" s="412"/>
      <c r="F15" s="412"/>
      <c r="G15" s="412"/>
      <c r="H15" s="148"/>
      <c r="I15" s="149">
        <f>SUM(I12:I14)</f>
        <v>1497211.76</v>
      </c>
      <c r="J15" s="203"/>
      <c r="K15" s="218">
        <f>SUM(K12:K14)</f>
        <v>1866139.71</v>
      </c>
      <c r="L15"/>
      <c r="M15"/>
      <c r="N15"/>
      <c r="O15"/>
      <c r="P15"/>
      <c r="Q15"/>
    </row>
    <row r="16" spans="1:17" ht="15" customHeight="1" thickTop="1" thickBot="1" x14ac:dyDescent="0.25">
      <c r="A16" s="441"/>
      <c r="B16" s="441"/>
      <c r="C16" s="441"/>
      <c r="D16" s="441"/>
      <c r="E16" s="441"/>
      <c r="F16" s="441"/>
      <c r="G16" s="441"/>
      <c r="H16" s="441"/>
      <c r="I16" s="441"/>
      <c r="J16" s="441"/>
      <c r="K16" s="441"/>
      <c r="L16"/>
      <c r="M16"/>
      <c r="N16"/>
      <c r="O16"/>
      <c r="P16"/>
      <c r="Q16"/>
    </row>
    <row r="17" spans="1:17" ht="15" customHeight="1" thickTop="1" x14ac:dyDescent="0.2">
      <c r="A17" s="403" t="s">
        <v>139</v>
      </c>
      <c r="B17" s="403"/>
      <c r="C17" s="403"/>
      <c r="D17" s="403"/>
      <c r="E17" s="403"/>
      <c r="F17" s="403"/>
      <c r="G17" s="403"/>
      <c r="H17" s="403"/>
      <c r="I17" s="403"/>
      <c r="J17" s="403"/>
      <c r="K17" s="403"/>
      <c r="L17"/>
      <c r="M17"/>
      <c r="N17"/>
      <c r="O17"/>
      <c r="P17"/>
      <c r="Q17"/>
    </row>
    <row r="18" spans="1:17" ht="15" customHeight="1" x14ac:dyDescent="0.2">
      <c r="A18" s="136" t="s">
        <v>140</v>
      </c>
      <c r="B18" s="137"/>
      <c r="C18" s="137"/>
      <c r="D18" s="137"/>
      <c r="E18" s="138"/>
      <c r="F18" s="139" t="s">
        <v>135</v>
      </c>
      <c r="G18" s="219">
        <v>36</v>
      </c>
      <c r="H18" s="80">
        <v>2000</v>
      </c>
      <c r="I18" s="215">
        <f>ROUND(G18*H18,2)</f>
        <v>72000</v>
      </c>
      <c r="J18" s="216">
        <f>((1+0.1)*(1+'FSUP-VI Det. Desp Fiscais'!$G$29/100)*H18)</f>
        <v>2492.8200000000002</v>
      </c>
      <c r="K18" s="217">
        <f>ROUND(G18*J18,2)</f>
        <v>89741.52</v>
      </c>
      <c r="L18"/>
      <c r="M18"/>
      <c r="N18"/>
      <c r="O18"/>
      <c r="P18"/>
      <c r="Q18"/>
    </row>
    <row r="19" spans="1:17" ht="15" customHeight="1" x14ac:dyDescent="0.2">
      <c r="A19" s="136" t="s">
        <v>141</v>
      </c>
      <c r="B19" s="137"/>
      <c r="C19" s="137"/>
      <c r="D19" s="137"/>
      <c r="E19" s="138"/>
      <c r="F19" s="139" t="s">
        <v>135</v>
      </c>
      <c r="G19" s="219">
        <v>36</v>
      </c>
      <c r="H19" s="80">
        <v>154.99</v>
      </c>
      <c r="I19" s="215">
        <f t="shared" ref="I19:I24" si="0">ROUND(G19*H19,2)</f>
        <v>5579.64</v>
      </c>
      <c r="J19" s="216">
        <f>((1+0.1)*(1+'FSUP-VI Det. Desp Fiscais'!$G$29/100)*H19)</f>
        <v>193.18108590000003</v>
      </c>
      <c r="K19" s="217">
        <f t="shared" ref="K19:K24" si="1">ROUND(G19*J19,2)</f>
        <v>6954.52</v>
      </c>
      <c r="L19"/>
      <c r="M19"/>
      <c r="N19"/>
      <c r="O19"/>
      <c r="P19"/>
      <c r="Q19"/>
    </row>
    <row r="20" spans="1:17" ht="15" customHeight="1" x14ac:dyDescent="0.2">
      <c r="A20" s="136" t="s">
        <v>142</v>
      </c>
      <c r="B20" s="137"/>
      <c r="C20" s="137"/>
      <c r="D20" s="137"/>
      <c r="E20" s="138"/>
      <c r="F20" s="139" t="s">
        <v>135</v>
      </c>
      <c r="G20" s="219">
        <v>36</v>
      </c>
      <c r="H20" s="80">
        <v>180</v>
      </c>
      <c r="I20" s="80">
        <f t="shared" si="0"/>
        <v>6480</v>
      </c>
      <c r="J20" s="216">
        <f>((1+0.1)*(1+'FSUP-VI Det. Desp Fiscais'!$G$29/100)*H20)</f>
        <v>224.35380000000001</v>
      </c>
      <c r="K20" s="217">
        <f t="shared" si="1"/>
        <v>8076.74</v>
      </c>
      <c r="L20"/>
      <c r="M20"/>
      <c r="N20"/>
      <c r="O20"/>
      <c r="P20"/>
      <c r="Q20"/>
    </row>
    <row r="21" spans="1:17" ht="15" customHeight="1" x14ac:dyDescent="0.2">
      <c r="A21" s="136" t="s">
        <v>143</v>
      </c>
      <c r="B21" s="137"/>
      <c r="C21" s="137"/>
      <c r="D21" s="137"/>
      <c r="E21" s="138"/>
      <c r="F21" s="139" t="s">
        <v>135</v>
      </c>
      <c r="G21" s="219">
        <v>36</v>
      </c>
      <c r="H21" s="80">
        <v>19.87</v>
      </c>
      <c r="I21" s="215">
        <f t="shared" si="0"/>
        <v>715.32</v>
      </c>
      <c r="J21" s="216">
        <f>((1+0.1)*(1+'FSUP-VI Det. Desp Fiscais'!$G$29/100)*H21)</f>
        <v>24.766166700000003</v>
      </c>
      <c r="K21" s="217">
        <f t="shared" si="1"/>
        <v>891.58</v>
      </c>
      <c r="L21"/>
      <c r="M21"/>
      <c r="N21"/>
      <c r="O21"/>
      <c r="P21"/>
      <c r="Q21"/>
    </row>
    <row r="22" spans="1:17" ht="15" customHeight="1" x14ac:dyDescent="0.2">
      <c r="A22" s="136" t="s">
        <v>144</v>
      </c>
      <c r="B22" s="137"/>
      <c r="C22" s="137"/>
      <c r="D22" s="137"/>
      <c r="E22" s="138"/>
      <c r="F22" s="139" t="s">
        <v>135</v>
      </c>
      <c r="G22" s="219">
        <v>36</v>
      </c>
      <c r="H22" s="80">
        <v>124.04</v>
      </c>
      <c r="I22" s="215">
        <f t="shared" si="0"/>
        <v>4465.4399999999996</v>
      </c>
      <c r="J22" s="216">
        <f>((1+0.1)*(1+'FSUP-VI Det. Desp Fiscais'!$G$29/100)*H22)</f>
        <v>154.60469640000002</v>
      </c>
      <c r="K22" s="217">
        <f t="shared" si="1"/>
        <v>5565.77</v>
      </c>
      <c r="L22"/>
      <c r="M22"/>
      <c r="N22"/>
      <c r="O22"/>
      <c r="P22"/>
      <c r="Q22"/>
    </row>
    <row r="23" spans="1:17" ht="15" customHeight="1" x14ac:dyDescent="0.2">
      <c r="A23" s="136" t="s">
        <v>145</v>
      </c>
      <c r="B23" s="137"/>
      <c r="C23" s="137"/>
      <c r="D23" s="137"/>
      <c r="E23" s="138"/>
      <c r="F23" s="139" t="s">
        <v>135</v>
      </c>
      <c r="G23" s="219">
        <v>36</v>
      </c>
      <c r="H23" s="80">
        <v>89</v>
      </c>
      <c r="I23" s="80">
        <f t="shared" si="0"/>
        <v>3204</v>
      </c>
      <c r="J23" s="216">
        <f>((1+0.1)*(1+'FSUP-VI Det. Desp Fiscais'!$G$29/100)*H23)</f>
        <v>110.93049000000001</v>
      </c>
      <c r="K23" s="217">
        <f t="shared" si="1"/>
        <v>3993.5</v>
      </c>
      <c r="L23"/>
      <c r="M23"/>
      <c r="N23"/>
      <c r="O23"/>
      <c r="P23"/>
      <c r="Q23"/>
    </row>
    <row r="24" spans="1:17" ht="15" customHeight="1" x14ac:dyDescent="0.2">
      <c r="A24" s="136" t="s">
        <v>146</v>
      </c>
      <c r="B24" s="137"/>
      <c r="C24" s="137"/>
      <c r="D24" s="137"/>
      <c r="E24" s="138"/>
      <c r="F24" s="139" t="s">
        <v>135</v>
      </c>
      <c r="G24" s="219">
        <v>36</v>
      </c>
      <c r="H24" s="80">
        <v>30</v>
      </c>
      <c r="I24" s="215">
        <f t="shared" si="0"/>
        <v>1080</v>
      </c>
      <c r="J24" s="216">
        <f>((1+0.1)*(1+'FSUP-VI Det. Desp Fiscais'!$G$29/100)*H24)</f>
        <v>37.392299999999999</v>
      </c>
      <c r="K24" s="217">
        <f t="shared" si="1"/>
        <v>1346.12</v>
      </c>
      <c r="L24"/>
      <c r="M24"/>
      <c r="N24"/>
      <c r="O24"/>
      <c r="P24"/>
      <c r="Q24"/>
    </row>
    <row r="25" spans="1:17" ht="27.75" customHeight="1" thickBot="1" x14ac:dyDescent="0.25">
      <c r="A25" s="434" t="s">
        <v>147</v>
      </c>
      <c r="B25" s="412"/>
      <c r="C25" s="412"/>
      <c r="D25" s="412"/>
      <c r="E25" s="412"/>
      <c r="F25" s="412"/>
      <c r="G25" s="412"/>
      <c r="H25" s="148"/>
      <c r="I25" s="149">
        <f>SUM(I18:I24)</f>
        <v>93524.400000000009</v>
      </c>
      <c r="J25" s="148"/>
      <c r="K25" s="218">
        <f>SUM(K18:K24)</f>
        <v>116569.75000000001</v>
      </c>
      <c r="L25"/>
      <c r="M25"/>
      <c r="N25"/>
      <c r="O25"/>
      <c r="P25"/>
      <c r="Q25"/>
    </row>
    <row r="26" spans="1:17" ht="15" customHeight="1" thickTop="1" x14ac:dyDescent="0.2">
      <c r="A26" s="403" t="s">
        <v>148</v>
      </c>
      <c r="B26" s="403"/>
      <c r="C26" s="403"/>
      <c r="D26" s="403"/>
      <c r="E26" s="403"/>
      <c r="F26" s="403"/>
      <c r="G26" s="403"/>
      <c r="H26" s="403"/>
      <c r="I26" s="403"/>
      <c r="J26" s="403"/>
      <c r="K26" s="403"/>
      <c r="L26"/>
      <c r="M26"/>
      <c r="N26"/>
      <c r="O26"/>
      <c r="P26"/>
      <c r="Q26"/>
    </row>
    <row r="27" spans="1:17" ht="15" customHeight="1" x14ac:dyDescent="0.2">
      <c r="A27" s="220" t="s">
        <v>149</v>
      </c>
      <c r="B27" s="221"/>
      <c r="C27" s="221"/>
      <c r="D27" s="221"/>
      <c r="E27" s="222"/>
      <c r="F27" s="140" t="s">
        <v>135</v>
      </c>
      <c r="G27" s="141">
        <v>904</v>
      </c>
      <c r="H27" s="80">
        <v>80</v>
      </c>
      <c r="I27" s="80">
        <f>ROUND(G27*H27,2)</f>
        <v>72320</v>
      </c>
      <c r="J27" s="216">
        <f>((1+0.1)*(1+'FSUP-VI Det. Desp Fiscais'!$G$29/100)*H27)</f>
        <v>99.712800000000001</v>
      </c>
      <c r="K27" s="80">
        <f>ROUND(G27*J27,2)</f>
        <v>90140.37</v>
      </c>
      <c r="L27"/>
      <c r="M27"/>
      <c r="N27"/>
      <c r="O27"/>
      <c r="P27"/>
      <c r="Q27"/>
    </row>
    <row r="28" spans="1:17" ht="15" customHeight="1" x14ac:dyDescent="0.2">
      <c r="A28" s="220" t="s">
        <v>150</v>
      </c>
      <c r="B28" s="221"/>
      <c r="C28" s="221"/>
      <c r="D28" s="221"/>
      <c r="E28" s="222"/>
      <c r="F28" s="140" t="s">
        <v>135</v>
      </c>
      <c r="G28" s="141">
        <v>271</v>
      </c>
      <c r="H28" s="80">
        <v>65</v>
      </c>
      <c r="I28" s="80">
        <f>ROUND(G28*H28,2)</f>
        <v>17615</v>
      </c>
      <c r="J28" s="216">
        <f>((1+0.1)*(1+'FSUP-VI Det. Desp Fiscais'!$G$29/100)*H28)</f>
        <v>81.016649999999998</v>
      </c>
      <c r="K28" s="80">
        <f>ROUND(G28*J28,2)</f>
        <v>21955.51</v>
      </c>
      <c r="L28"/>
      <c r="M28"/>
      <c r="N28"/>
      <c r="O28"/>
      <c r="P28"/>
      <c r="Q28"/>
    </row>
    <row r="29" spans="1:17" ht="36.950000000000003" customHeight="1" x14ac:dyDescent="0.2">
      <c r="A29" s="400" t="s">
        <v>151</v>
      </c>
      <c r="B29" s="401"/>
      <c r="C29" s="401"/>
      <c r="D29" s="401"/>
      <c r="E29" s="402"/>
      <c r="F29" s="140" t="s">
        <v>152</v>
      </c>
      <c r="G29" s="141">
        <v>5000</v>
      </c>
      <c r="H29" s="80">
        <v>75</v>
      </c>
      <c r="I29" s="80">
        <f>ROUND(G29*H29,2)</f>
        <v>375000</v>
      </c>
      <c r="J29" s="216">
        <f>((1+0.1)*(1+'FSUP-VI Det. Desp Fiscais'!$G$29/100)*H29)</f>
        <v>93.48075</v>
      </c>
      <c r="K29" s="80">
        <f>ROUND(G29*J29,2)</f>
        <v>467403.75</v>
      </c>
      <c r="L29"/>
      <c r="M29"/>
      <c r="N29"/>
      <c r="O29"/>
      <c r="P29"/>
      <c r="Q29"/>
    </row>
    <row r="30" spans="1:17" ht="15" customHeight="1" x14ac:dyDescent="0.2">
      <c r="A30" s="220" t="s">
        <v>153</v>
      </c>
      <c r="B30" s="221"/>
      <c r="C30" s="221"/>
      <c r="D30" s="221"/>
      <c r="E30" s="222"/>
      <c r="F30" s="140" t="s">
        <v>135</v>
      </c>
      <c r="G30" s="141">
        <v>334</v>
      </c>
      <c r="H30" s="80">
        <v>30</v>
      </c>
      <c r="I30" s="80">
        <f>ROUND(G30*H30,2)</f>
        <v>10020</v>
      </c>
      <c r="J30" s="216">
        <f>((1+0.1)*(1+'FSUP-VI Det. Desp Fiscais'!$G$29/100)*H30)</f>
        <v>37.392299999999999</v>
      </c>
      <c r="K30" s="80">
        <f>ROUND(G30*J30,2)</f>
        <v>12489.03</v>
      </c>
      <c r="L30"/>
      <c r="M30"/>
      <c r="N30"/>
      <c r="O30"/>
      <c r="P30"/>
      <c r="Q30"/>
    </row>
    <row r="31" spans="1:17" ht="15" customHeight="1" thickBot="1" x14ac:dyDescent="0.25">
      <c r="A31" s="404" t="s">
        <v>154</v>
      </c>
      <c r="B31" s="404"/>
      <c r="C31" s="404"/>
      <c r="D31" s="404"/>
      <c r="E31" s="404"/>
      <c r="F31" s="404"/>
      <c r="G31" s="404"/>
      <c r="H31" s="142"/>
      <c r="I31" s="143">
        <f>SUM(I27:I30)</f>
        <v>474955</v>
      </c>
      <c r="J31" s="142"/>
      <c r="K31" s="223">
        <f>SUM(K27:K30)</f>
        <v>591988.66</v>
      </c>
      <c r="L31"/>
      <c r="M31"/>
      <c r="N31"/>
      <c r="O31"/>
      <c r="P31"/>
      <c r="Q31"/>
    </row>
    <row r="32" spans="1:17" ht="15" customHeight="1" thickTop="1" x14ac:dyDescent="0.2">
      <c r="A32" s="413" t="s">
        <v>155</v>
      </c>
      <c r="B32" s="414"/>
      <c r="C32" s="414"/>
      <c r="D32" s="414"/>
      <c r="E32" s="414"/>
      <c r="F32" s="414"/>
      <c r="G32" s="414"/>
      <c r="H32" s="414"/>
      <c r="I32" s="414"/>
      <c r="J32" s="414"/>
      <c r="K32" s="415"/>
      <c r="L32"/>
      <c r="M32"/>
      <c r="N32"/>
      <c r="O32"/>
      <c r="P32"/>
      <c r="Q32"/>
    </row>
    <row r="33" spans="1:17" ht="15" customHeight="1" x14ac:dyDescent="0.2">
      <c r="A33" s="220" t="s">
        <v>156</v>
      </c>
      <c r="B33" s="221"/>
      <c r="C33" s="221"/>
      <c r="D33" s="221"/>
      <c r="E33" s="222"/>
      <c r="F33" s="140" t="s">
        <v>157</v>
      </c>
      <c r="G33" s="141">
        <v>50</v>
      </c>
      <c r="H33" s="80">
        <v>25</v>
      </c>
      <c r="I33" s="80">
        <f>ROUND(G33*H33,2)</f>
        <v>1250</v>
      </c>
      <c r="J33" s="216">
        <f>((1+0.1)*(1+'FSUP-VI Det. Desp Fiscais'!$G$29/100)*H33)</f>
        <v>31.160250000000001</v>
      </c>
      <c r="K33" s="80">
        <f>ROUND(G33*J33,2)</f>
        <v>1558.01</v>
      </c>
      <c r="L33"/>
      <c r="M33"/>
      <c r="N33"/>
      <c r="O33"/>
      <c r="P33"/>
      <c r="Q33"/>
    </row>
    <row r="34" spans="1:17" ht="33" customHeight="1" x14ac:dyDescent="0.2">
      <c r="A34" s="400" t="s">
        <v>158</v>
      </c>
      <c r="B34" s="401"/>
      <c r="C34" s="401"/>
      <c r="D34" s="401"/>
      <c r="E34" s="402"/>
      <c r="F34" s="140" t="s">
        <v>157</v>
      </c>
      <c r="G34" s="141">
        <v>720</v>
      </c>
      <c r="H34" s="80">
        <v>2.25</v>
      </c>
      <c r="I34" s="80">
        <f>ROUND(G34*H34,2)</f>
        <v>1620</v>
      </c>
      <c r="J34" s="216">
        <f>((1+0.1)*(1+'FSUP-VI Det. Desp Fiscais'!$G$29/100)*H34)</f>
        <v>2.8044225000000003</v>
      </c>
      <c r="K34" s="80">
        <f>ROUND(G34*J34,2)</f>
        <v>2019.18</v>
      </c>
      <c r="L34"/>
      <c r="M34"/>
      <c r="N34"/>
      <c r="O34"/>
      <c r="P34"/>
      <c r="Q34"/>
    </row>
    <row r="35" spans="1:17" ht="15" customHeight="1" x14ac:dyDescent="0.2">
      <c r="A35" s="220" t="s">
        <v>159</v>
      </c>
      <c r="B35" s="221"/>
      <c r="C35" s="221"/>
      <c r="D35" s="221"/>
      <c r="E35" s="222"/>
      <c r="F35" s="140" t="s">
        <v>157</v>
      </c>
      <c r="G35" s="141">
        <v>100</v>
      </c>
      <c r="H35" s="80">
        <v>96.91</v>
      </c>
      <c r="I35" s="80">
        <f>ROUND(G35*H35,2)</f>
        <v>9691</v>
      </c>
      <c r="J35" s="216">
        <f>((1+0.1)*(1+'FSUP-VI Det. Desp Fiscais'!$G$29/100)*H35)</f>
        <v>120.78959309999999</v>
      </c>
      <c r="K35" s="80">
        <f>ROUND(G35*J35,2)</f>
        <v>12078.96</v>
      </c>
      <c r="L35"/>
      <c r="M35"/>
      <c r="N35"/>
      <c r="O35"/>
      <c r="P35"/>
      <c r="Q35"/>
    </row>
    <row r="36" spans="1:17" ht="15" customHeight="1" x14ac:dyDescent="0.2">
      <c r="A36" s="400" t="s">
        <v>160</v>
      </c>
      <c r="B36" s="401"/>
      <c r="C36" s="401"/>
      <c r="D36" s="401"/>
      <c r="E36" s="402"/>
      <c r="F36" s="140" t="s">
        <v>157</v>
      </c>
      <c r="G36" s="141">
        <v>1000</v>
      </c>
      <c r="H36" s="80">
        <v>45</v>
      </c>
      <c r="I36" s="80">
        <f>ROUND(G36*H36,2)</f>
        <v>45000</v>
      </c>
      <c r="J36" s="216">
        <f>((1+0.1)*(1+'FSUP-VI Det. Desp Fiscais'!$G$29/100)*H36)</f>
        <v>56.088450000000002</v>
      </c>
      <c r="K36" s="80">
        <f>ROUND(G36*J36,2)</f>
        <v>56088.45</v>
      </c>
      <c r="L36"/>
      <c r="M36"/>
      <c r="N36"/>
      <c r="O36"/>
      <c r="P36"/>
      <c r="Q36"/>
    </row>
    <row r="37" spans="1:17" ht="15" customHeight="1" thickBot="1" x14ac:dyDescent="0.25">
      <c r="A37" s="416" t="s">
        <v>161</v>
      </c>
      <c r="B37" s="417"/>
      <c r="C37" s="417"/>
      <c r="D37" s="417"/>
      <c r="E37" s="417"/>
      <c r="F37" s="417"/>
      <c r="G37" s="418"/>
      <c r="H37" s="148"/>
      <c r="I37" s="149">
        <f>SUM(I33:I36)</f>
        <v>57561</v>
      </c>
      <c r="J37" s="148"/>
      <c r="K37" s="144">
        <f>SUM(K33:K36)</f>
        <v>71744.599999999991</v>
      </c>
      <c r="L37"/>
      <c r="M37"/>
      <c r="N37"/>
      <c r="O37"/>
      <c r="P37"/>
      <c r="Q37"/>
    </row>
    <row r="38" spans="1:17" ht="15" customHeight="1" thickTop="1" x14ac:dyDescent="0.2">
      <c r="A38" s="440" t="s">
        <v>162</v>
      </c>
      <c r="B38" s="440"/>
      <c r="C38" s="440"/>
      <c r="D38" s="440"/>
      <c r="E38" s="440"/>
      <c r="F38" s="440"/>
      <c r="G38" s="440"/>
      <c r="H38" s="440"/>
      <c r="I38" s="440"/>
      <c r="J38" s="440"/>
      <c r="K38" s="440"/>
      <c r="N38"/>
      <c r="O38"/>
      <c r="P38"/>
      <c r="Q38"/>
    </row>
    <row r="39" spans="1:17" ht="15" customHeight="1" x14ac:dyDescent="0.2">
      <c r="A39" s="220" t="s">
        <v>163</v>
      </c>
      <c r="B39" s="221"/>
      <c r="C39" s="221"/>
      <c r="D39" s="221"/>
      <c r="E39" s="222"/>
      <c r="F39" s="145" t="s">
        <v>164</v>
      </c>
      <c r="G39" s="141">
        <v>12</v>
      </c>
      <c r="H39" s="80">
        <v>5000.3249999999998</v>
      </c>
      <c r="I39" s="146">
        <f>ROUND(G39*H39,2)</f>
        <v>60003.9</v>
      </c>
      <c r="J39" s="147">
        <f>((1+0.1)*(1+'FSUP-VI Det. Desp Fiscais'!$G$29/100)*H39)</f>
        <v>6232.4550832499999</v>
      </c>
      <c r="K39" s="146">
        <f>ROUND(G39*J39,2)</f>
        <v>74789.460000000006</v>
      </c>
      <c r="N39"/>
      <c r="O39"/>
      <c r="P39"/>
      <c r="Q39"/>
    </row>
    <row r="40" spans="1:17" ht="15" customHeight="1" thickBot="1" x14ac:dyDescent="0.25">
      <c r="A40" s="411" t="s">
        <v>165</v>
      </c>
      <c r="B40" s="411"/>
      <c r="C40" s="411"/>
      <c r="D40" s="411"/>
      <c r="E40" s="411"/>
      <c r="F40" s="412"/>
      <c r="G40" s="412"/>
      <c r="H40" s="148"/>
      <c r="I40" s="149">
        <f>SUM(I39:I39)</f>
        <v>60003.9</v>
      </c>
      <c r="J40" s="148"/>
      <c r="K40" s="149">
        <f>SUM(K39:K39)</f>
        <v>74789.460000000006</v>
      </c>
    </row>
    <row r="41" spans="1:17" ht="15" customHeight="1" thickTop="1" thickBot="1" x14ac:dyDescent="0.25">
      <c r="A41" s="429"/>
      <c r="B41" s="430"/>
      <c r="C41" s="430"/>
      <c r="D41" s="430"/>
      <c r="E41" s="430"/>
      <c r="F41" s="430"/>
      <c r="G41" s="430"/>
      <c r="H41" s="430"/>
      <c r="I41" s="430"/>
      <c r="J41" s="430"/>
      <c r="K41" s="431"/>
    </row>
    <row r="42" spans="1:17" ht="15" customHeight="1" thickTop="1" x14ac:dyDescent="0.2">
      <c r="A42" s="150" t="s">
        <v>36</v>
      </c>
      <c r="B42" s="151"/>
      <c r="C42" s="151"/>
      <c r="D42" s="151"/>
      <c r="E42" s="151"/>
      <c r="F42" s="152"/>
      <c r="G42" s="153" t="s">
        <v>37</v>
      </c>
      <c r="H42" s="151"/>
      <c r="I42" s="151"/>
      <c r="J42" s="151"/>
      <c r="K42" s="154"/>
    </row>
    <row r="43" spans="1:17" ht="15" customHeight="1" x14ac:dyDescent="0.2">
      <c r="A43" s="419" t="s">
        <v>38</v>
      </c>
      <c r="B43" s="406"/>
      <c r="C43" s="406"/>
      <c r="D43" s="406"/>
      <c r="E43" s="406"/>
      <c r="F43" s="420"/>
      <c r="G43" s="405" t="s">
        <v>39</v>
      </c>
      <c r="H43" s="406"/>
      <c r="I43" s="406"/>
      <c r="J43" s="406"/>
      <c r="K43" s="407"/>
    </row>
    <row r="44" spans="1:17" ht="15" customHeight="1" x14ac:dyDescent="0.2">
      <c r="A44" s="432" t="s">
        <v>40</v>
      </c>
      <c r="B44" s="433"/>
      <c r="C44" s="433"/>
      <c r="D44" s="433"/>
      <c r="E44" s="433"/>
      <c r="F44" s="433"/>
      <c r="G44" s="424"/>
      <c r="H44" s="155" t="s">
        <v>41</v>
      </c>
      <c r="I44" s="202"/>
      <c r="J44" s="202"/>
      <c r="K44" s="156"/>
    </row>
    <row r="45" spans="1:17" ht="35.25" customHeight="1" x14ac:dyDescent="0.2">
      <c r="A45" s="157"/>
      <c r="B45" s="158"/>
      <c r="C45" s="158"/>
      <c r="D45" s="158"/>
      <c r="E45" s="158"/>
      <c r="F45" s="158"/>
      <c r="G45" s="159"/>
      <c r="H45" s="408">
        <v>45281</v>
      </c>
      <c r="I45" s="409"/>
      <c r="J45" s="409"/>
      <c r="K45" s="410"/>
    </row>
    <row r="46" spans="1:17" ht="15" customHeight="1" x14ac:dyDescent="0.2">
      <c r="A46" s="379" t="s">
        <v>42</v>
      </c>
      <c r="B46" s="379"/>
      <c r="C46" s="379"/>
      <c r="D46" s="379"/>
      <c r="E46" s="379"/>
      <c r="F46" s="379"/>
      <c r="G46" s="379"/>
      <c r="H46" s="379"/>
      <c r="I46" s="379"/>
      <c r="J46" s="379"/>
      <c r="K46" s="379"/>
    </row>
    <row r="47" spans="1:17" ht="15" customHeight="1" x14ac:dyDescent="0.2">
      <c r="A47" s="375" t="s">
        <v>166</v>
      </c>
      <c r="B47" s="375"/>
      <c r="C47" s="375"/>
      <c r="D47" s="375"/>
      <c r="E47" s="375"/>
      <c r="F47" s="375"/>
      <c r="G47" s="375"/>
      <c r="H47" s="375"/>
      <c r="I47" s="375"/>
      <c r="J47" s="375"/>
      <c r="K47" s="375"/>
    </row>
    <row r="48" spans="1:17" ht="15" customHeight="1" x14ac:dyDescent="0.2">
      <c r="A48" s="375" t="s">
        <v>167</v>
      </c>
      <c r="B48" s="375"/>
      <c r="C48" s="375"/>
      <c r="D48" s="375"/>
      <c r="E48" s="375"/>
      <c r="F48" s="375"/>
      <c r="G48" s="375"/>
      <c r="H48" s="375"/>
      <c r="I48" s="375"/>
      <c r="J48" s="375"/>
      <c r="K48" s="375"/>
    </row>
    <row r="49" spans="1:11" ht="15" customHeight="1" x14ac:dyDescent="0.2">
      <c r="A49" s="375" t="str">
        <f>CONCATENATE("3. Preço = custo + lucro + despesas fiscais. Para calcular o preço aplica-se a seguinte fórmula: custo*(1+0,1)*(1+",'FSUP-VI Det. Desp Fiscais'!G29,"%)")</f>
        <v>3. Preço = custo + lucro + despesas fiscais. Para calcular o preço aplica-se a seguinte fórmula: custo*(1+0,1)*(1+13,31%)</v>
      </c>
      <c r="B49" s="375"/>
      <c r="C49" s="375"/>
      <c r="D49" s="375"/>
      <c r="E49" s="375"/>
      <c r="F49" s="375"/>
      <c r="G49" s="375"/>
      <c r="H49" s="375"/>
      <c r="I49" s="375"/>
      <c r="J49" s="375"/>
      <c r="K49" s="375"/>
    </row>
    <row r="50" spans="1:11" ht="15" customHeight="1" x14ac:dyDescent="0.2">
      <c r="A50" s="160" t="s">
        <v>168</v>
      </c>
      <c r="B50" s="160"/>
      <c r="C50" s="160"/>
      <c r="D50" s="160"/>
      <c r="E50" s="160"/>
      <c r="F50" s="160"/>
      <c r="G50" s="161"/>
      <c r="H50" s="160"/>
      <c r="I50" s="160"/>
      <c r="J50" s="160"/>
      <c r="K50" s="160"/>
    </row>
    <row r="51" spans="1:11" ht="15" customHeight="1" x14ac:dyDescent="0.2">
      <c r="A51" s="160" t="s">
        <v>169</v>
      </c>
      <c r="B51" s="160"/>
      <c r="C51" s="160"/>
      <c r="D51" s="160"/>
      <c r="E51" s="160"/>
      <c r="F51" s="160"/>
      <c r="G51" s="161"/>
      <c r="H51" s="160"/>
      <c r="I51" s="160"/>
      <c r="J51" s="160"/>
      <c r="K51" s="160"/>
    </row>
    <row r="52" spans="1:11" ht="15" customHeight="1" x14ac:dyDescent="0.2">
      <c r="A52" s="399" t="s">
        <v>170</v>
      </c>
      <c r="B52" s="399"/>
      <c r="C52" s="399"/>
      <c r="D52" s="399"/>
      <c r="E52" s="399"/>
      <c r="F52" s="399"/>
      <c r="G52" s="399"/>
      <c r="H52" s="399"/>
      <c r="I52" s="399"/>
      <c r="J52" s="399"/>
      <c r="K52" s="399"/>
    </row>
    <row r="53" spans="1:11" ht="15" customHeight="1" x14ac:dyDescent="0.2">
      <c r="A53" s="399"/>
      <c r="B53" s="399"/>
      <c r="C53" s="399"/>
      <c r="D53" s="399"/>
      <c r="E53" s="399"/>
      <c r="F53" s="399"/>
      <c r="G53" s="399"/>
      <c r="H53" s="399"/>
      <c r="I53" s="399"/>
      <c r="J53" s="399"/>
      <c r="K53" s="399"/>
    </row>
    <row r="54" spans="1:11" ht="26.25" customHeight="1" x14ac:dyDescent="0.2">
      <c r="A54" s="399" t="s">
        <v>171</v>
      </c>
      <c r="B54" s="399"/>
      <c r="C54" s="399"/>
      <c r="D54" s="399"/>
      <c r="E54" s="399"/>
      <c r="F54" s="399"/>
      <c r="G54" s="399"/>
      <c r="H54" s="399"/>
      <c r="I54" s="399"/>
      <c r="J54" s="399"/>
      <c r="K54" s="399"/>
    </row>
  </sheetData>
  <sheetProtection selectLockedCells="1" selectUnlockedCells="1"/>
  <mergeCells count="45">
    <mergeCell ref="A13:E13"/>
    <mergeCell ref="A38:K38"/>
    <mergeCell ref="A11:E11"/>
    <mergeCell ref="A12:E12"/>
    <mergeCell ref="A14:E14"/>
    <mergeCell ref="A15:G15"/>
    <mergeCell ref="A16:K16"/>
    <mergeCell ref="A3:I4"/>
    <mergeCell ref="J3:K3"/>
    <mergeCell ref="J4:K4"/>
    <mergeCell ref="A5:K5"/>
    <mergeCell ref="A8:B8"/>
    <mergeCell ref="C8:I8"/>
    <mergeCell ref="J8:K8"/>
    <mergeCell ref="A6:I6"/>
    <mergeCell ref="A1:K2"/>
    <mergeCell ref="A52:K53"/>
    <mergeCell ref="A7:B7"/>
    <mergeCell ref="C7:I7"/>
    <mergeCell ref="J7:K7"/>
    <mergeCell ref="A9:E10"/>
    <mergeCell ref="F9:F10"/>
    <mergeCell ref="G9:G10"/>
    <mergeCell ref="H9:I9"/>
    <mergeCell ref="J9:K9"/>
    <mergeCell ref="A49:K49"/>
    <mergeCell ref="A41:K41"/>
    <mergeCell ref="A44:G44"/>
    <mergeCell ref="A48:K48"/>
    <mergeCell ref="A17:K17"/>
    <mergeCell ref="A25:G25"/>
    <mergeCell ref="A54:K54"/>
    <mergeCell ref="A29:E29"/>
    <mergeCell ref="A26:K26"/>
    <mergeCell ref="A31:G31"/>
    <mergeCell ref="G43:K43"/>
    <mergeCell ref="H45:K45"/>
    <mergeCell ref="A46:K46"/>
    <mergeCell ref="A40:G40"/>
    <mergeCell ref="A32:K32"/>
    <mergeCell ref="A34:E34"/>
    <mergeCell ref="A36:E36"/>
    <mergeCell ref="A37:G37"/>
    <mergeCell ref="A47:K47"/>
    <mergeCell ref="A43:F43"/>
  </mergeCells>
  <phoneticPr fontId="17" type="noConversion"/>
  <printOptions horizontalCentered="1"/>
  <pageMargins left="0.19685039370078741" right="0.19685039370078741" top="1.1811023622047245" bottom="0.59055118110236227" header="0.51181102362204722" footer="0.51181102362204722"/>
  <pageSetup paperSize="9" scale="80" firstPageNumber="0" orientation="portrait" horizontalDpi="4294967294" verticalDpi="4294967294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48"/>
  <sheetViews>
    <sheetView showGridLines="0" zoomScaleNormal="100" zoomScaleSheetLayoutView="100" workbookViewId="0">
      <selection activeCell="A3" sqref="A3:N45"/>
    </sheetView>
  </sheetViews>
  <sheetFormatPr defaultColWidth="11.42578125" defaultRowHeight="15" customHeight="1" x14ac:dyDescent="0.2"/>
  <cols>
    <col min="1" max="1" width="8.85546875" style="26" customWidth="1"/>
    <col min="2" max="2" width="19.85546875" style="26" customWidth="1"/>
    <col min="3" max="3" width="14.140625" style="26" customWidth="1"/>
    <col min="4" max="6" width="4.85546875" style="26" customWidth="1"/>
    <col min="7" max="14" width="10" style="26" customWidth="1"/>
    <col min="15" max="15" width="10.140625" style="26" customWidth="1"/>
    <col min="16" max="16384" width="11.42578125" style="26"/>
  </cols>
  <sheetData>
    <row r="1" spans="1:14" ht="15" customHeight="1" x14ac:dyDescent="0.2">
      <c r="A1" s="447"/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  <c r="N1" s="447"/>
    </row>
    <row r="2" spans="1:14" ht="15" customHeight="1" x14ac:dyDescent="0.2">
      <c r="A2" s="448"/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  <c r="N2" s="448"/>
    </row>
    <row r="3" spans="1:14" ht="12.95" customHeight="1" thickBot="1" x14ac:dyDescent="0.25">
      <c r="A3" s="357" t="s">
        <v>172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274" t="s">
        <v>4</v>
      </c>
      <c r="N3" s="274"/>
    </row>
    <row r="4" spans="1:14" ht="12.95" customHeight="1" thickTop="1" thickBot="1" x14ac:dyDescent="0.25">
      <c r="A4" s="357"/>
      <c r="B4" s="357"/>
      <c r="C4" s="357"/>
      <c r="D4" s="357"/>
      <c r="E4" s="357"/>
      <c r="F4" s="357"/>
      <c r="G4" s="357"/>
      <c r="H4" s="357"/>
      <c r="I4" s="357"/>
      <c r="J4" s="357"/>
      <c r="K4" s="357"/>
      <c r="L4" s="357"/>
      <c r="M4" s="394" t="s">
        <v>173</v>
      </c>
      <c r="N4" s="394"/>
    </row>
    <row r="5" spans="1:14" ht="12" customHeight="1" thickTop="1" x14ac:dyDescent="0.2">
      <c r="A5" s="336" t="s">
        <v>6</v>
      </c>
      <c r="B5" s="336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6"/>
      <c r="N5" s="336"/>
    </row>
    <row r="6" spans="1:14" ht="12" customHeight="1" x14ac:dyDescent="0.2">
      <c r="A6" s="19" t="s">
        <v>7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17"/>
    </row>
    <row r="7" spans="1:14" ht="12" customHeight="1" x14ac:dyDescent="0.2">
      <c r="A7" s="297" t="s">
        <v>8</v>
      </c>
      <c r="B7" s="297"/>
      <c r="C7" s="297" t="s">
        <v>9</v>
      </c>
      <c r="D7" s="297"/>
      <c r="E7" s="297"/>
      <c r="F7" s="297"/>
      <c r="G7" s="297"/>
      <c r="H7" s="297"/>
      <c r="I7" s="297"/>
      <c r="J7" s="297"/>
      <c r="K7" s="297"/>
      <c r="L7" s="297"/>
      <c r="M7" s="297" t="s">
        <v>10</v>
      </c>
      <c r="N7" s="297"/>
    </row>
    <row r="8" spans="1:14" ht="12" customHeight="1" thickBot="1" x14ac:dyDescent="0.25">
      <c r="A8" s="10" t="s">
        <v>11</v>
      </c>
      <c r="B8" s="21"/>
      <c r="C8" s="10" t="str">
        <f>FSUP!E8</f>
        <v>Serviços Especializados de Assessoria Ambiental</v>
      </c>
      <c r="D8" s="27"/>
      <c r="E8" s="27"/>
      <c r="F8" s="27"/>
      <c r="G8" s="27"/>
      <c r="H8" s="27"/>
      <c r="I8" s="27"/>
      <c r="J8" s="27"/>
      <c r="K8" s="27"/>
      <c r="L8" s="25"/>
      <c r="M8" s="363" t="s">
        <v>13</v>
      </c>
      <c r="N8" s="363"/>
    </row>
    <row r="9" spans="1:14" ht="9.9499999999999993" customHeight="1" thickTop="1" thickBot="1" x14ac:dyDescent="0.25">
      <c r="A9" s="393" t="s">
        <v>128</v>
      </c>
      <c r="B9" s="393"/>
      <c r="C9" s="393"/>
      <c r="D9" s="393" t="s">
        <v>174</v>
      </c>
      <c r="E9" s="392" t="s">
        <v>175</v>
      </c>
      <c r="F9" s="392" t="s">
        <v>176</v>
      </c>
      <c r="G9" s="398" t="s">
        <v>177</v>
      </c>
      <c r="H9" s="398"/>
      <c r="I9" s="398"/>
      <c r="J9" s="398"/>
      <c r="K9" s="396" t="s">
        <v>178</v>
      </c>
      <c r="L9" s="396"/>
      <c r="M9" s="396"/>
      <c r="N9" s="396"/>
    </row>
    <row r="10" spans="1:14" ht="9.9499999999999993" customHeight="1" thickTop="1" thickBot="1" x14ac:dyDescent="0.25">
      <c r="A10" s="393"/>
      <c r="B10" s="393"/>
      <c r="C10" s="393"/>
      <c r="D10" s="393"/>
      <c r="E10" s="392"/>
      <c r="F10" s="392"/>
      <c r="G10" s="391" t="s">
        <v>109</v>
      </c>
      <c r="H10" s="391"/>
      <c r="I10" s="446" t="s">
        <v>110</v>
      </c>
      <c r="J10" s="446"/>
      <c r="K10" s="391" t="s">
        <v>109</v>
      </c>
      <c r="L10" s="391"/>
      <c r="M10" s="395" t="s">
        <v>110</v>
      </c>
      <c r="N10" s="395"/>
    </row>
    <row r="11" spans="1:14" ht="9.9499999999999993" customHeight="1" thickTop="1" x14ac:dyDescent="0.2">
      <c r="A11" s="393"/>
      <c r="B11" s="393"/>
      <c r="C11" s="393"/>
      <c r="D11" s="393"/>
      <c r="E11" s="392"/>
      <c r="F11" s="392"/>
      <c r="G11" s="106" t="s">
        <v>111</v>
      </c>
      <c r="H11" s="204" t="s">
        <v>112</v>
      </c>
      <c r="I11" s="106" t="s">
        <v>111</v>
      </c>
      <c r="J11" s="204" t="s">
        <v>112</v>
      </c>
      <c r="K11" s="106" t="s">
        <v>111</v>
      </c>
      <c r="L11" s="204" t="s">
        <v>112</v>
      </c>
      <c r="M11" s="106" t="s">
        <v>111</v>
      </c>
      <c r="N11" s="204" t="s">
        <v>112</v>
      </c>
    </row>
    <row r="12" spans="1:14" ht="12" customHeight="1" x14ac:dyDescent="0.2">
      <c r="A12" s="224" t="s">
        <v>179</v>
      </c>
      <c r="B12" s="225"/>
      <c r="C12" s="226"/>
      <c r="D12" s="211"/>
      <c r="E12" s="34"/>
      <c r="F12" s="163"/>
      <c r="G12" s="22"/>
      <c r="H12" s="22"/>
      <c r="I12" s="22"/>
      <c r="J12" s="22"/>
      <c r="K12" s="22"/>
      <c r="L12" s="22"/>
      <c r="M12" s="22"/>
      <c r="N12" s="22"/>
    </row>
    <row r="13" spans="1:14" ht="12" customHeight="1" x14ac:dyDescent="0.2">
      <c r="A13" s="224" t="s">
        <v>180</v>
      </c>
      <c r="B13" s="225"/>
      <c r="C13" s="226"/>
      <c r="D13" s="211"/>
      <c r="E13" s="23"/>
      <c r="F13" s="23"/>
      <c r="G13" s="24"/>
      <c r="H13" s="24"/>
      <c r="I13" s="24"/>
      <c r="J13" s="24"/>
      <c r="K13" s="22"/>
      <c r="L13" s="22"/>
      <c r="M13" s="24"/>
      <c r="N13" s="22"/>
    </row>
    <row r="14" spans="1:14" ht="12" customHeight="1" x14ac:dyDescent="0.2">
      <c r="A14" s="224" t="s">
        <v>181</v>
      </c>
      <c r="B14" s="225"/>
      <c r="C14" s="226"/>
      <c r="D14" s="211" t="s">
        <v>182</v>
      </c>
      <c r="E14" s="23" t="s">
        <v>157</v>
      </c>
      <c r="F14" s="23">
        <v>1</v>
      </c>
      <c r="G14" s="24">
        <f>'FSUP-II VIAGENS'!G13</f>
        <v>800</v>
      </c>
      <c r="H14" s="24">
        <f>ROUND(F14*G14,2)</f>
        <v>800</v>
      </c>
      <c r="I14" s="24">
        <f>((1+0.1)*(1+'FSUP-VI Det. Desp Fiscais'!$G$29%)*G14)</f>
        <v>997.12800000000004</v>
      </c>
      <c r="J14" s="24">
        <f>ROUND(F14*I14,2)</f>
        <v>997.13</v>
      </c>
      <c r="K14" s="22"/>
      <c r="L14" s="22"/>
      <c r="M14" s="24"/>
      <c r="N14" s="22"/>
    </row>
    <row r="15" spans="1:14" ht="12" customHeight="1" x14ac:dyDescent="0.2">
      <c r="A15" s="224"/>
      <c r="B15" s="225"/>
      <c r="C15" s="226"/>
      <c r="D15" s="211" t="s">
        <v>182</v>
      </c>
      <c r="E15" s="23" t="s">
        <v>157</v>
      </c>
      <c r="F15" s="23">
        <v>1</v>
      </c>
      <c r="G15" s="24"/>
      <c r="H15" s="24"/>
      <c r="I15" s="24"/>
      <c r="J15" s="24"/>
      <c r="K15" s="22">
        <f>G14</f>
        <v>800</v>
      </c>
      <c r="L15" s="22">
        <f>H14</f>
        <v>800</v>
      </c>
      <c r="M15" s="24">
        <f>I14</f>
        <v>997.12800000000004</v>
      </c>
      <c r="N15" s="22">
        <f>J14</f>
        <v>997.13</v>
      </c>
    </row>
    <row r="16" spans="1:14" ht="12" customHeight="1" x14ac:dyDescent="0.2">
      <c r="A16" s="224"/>
      <c r="B16" s="225"/>
      <c r="C16" s="226"/>
      <c r="D16" s="211"/>
      <c r="E16" s="23"/>
      <c r="F16" s="23"/>
      <c r="G16" s="24"/>
      <c r="H16" s="24"/>
      <c r="I16" s="24"/>
      <c r="J16" s="24"/>
      <c r="K16" s="22"/>
      <c r="L16" s="22"/>
      <c r="M16" s="24"/>
      <c r="N16" s="22"/>
    </row>
    <row r="17" spans="1:14" ht="12" customHeight="1" x14ac:dyDescent="0.2">
      <c r="A17" s="224"/>
      <c r="B17" s="225"/>
      <c r="C17" s="226"/>
      <c r="D17" s="211"/>
      <c r="E17" s="23"/>
      <c r="F17" s="23"/>
      <c r="G17" s="24"/>
      <c r="H17" s="24"/>
      <c r="I17" s="24"/>
      <c r="J17" s="24"/>
      <c r="K17" s="22"/>
      <c r="L17" s="22"/>
      <c r="M17" s="24"/>
      <c r="N17" s="22"/>
    </row>
    <row r="18" spans="1:14" ht="12" customHeight="1" x14ac:dyDescent="0.2">
      <c r="A18" s="224"/>
      <c r="B18" s="225"/>
      <c r="C18" s="226"/>
      <c r="D18" s="211"/>
      <c r="E18" s="23"/>
      <c r="F18" s="23"/>
      <c r="G18" s="24"/>
      <c r="H18" s="24"/>
      <c r="I18" s="24"/>
      <c r="J18" s="24"/>
      <c r="K18" s="22"/>
      <c r="L18" s="22"/>
      <c r="M18" s="24"/>
      <c r="N18" s="22"/>
    </row>
    <row r="19" spans="1:14" ht="12" customHeight="1" x14ac:dyDescent="0.2">
      <c r="A19" s="224"/>
      <c r="B19" s="225"/>
      <c r="C19" s="226"/>
      <c r="D19" s="211"/>
      <c r="E19" s="23"/>
      <c r="F19" s="23"/>
      <c r="G19" s="24"/>
      <c r="H19" s="24"/>
      <c r="I19" s="24"/>
      <c r="J19" s="24"/>
      <c r="K19" s="22"/>
      <c r="L19" s="22"/>
      <c r="M19" s="24"/>
      <c r="N19" s="22"/>
    </row>
    <row r="20" spans="1:14" ht="12" customHeight="1" x14ac:dyDescent="0.2">
      <c r="A20" s="224"/>
      <c r="B20" s="225"/>
      <c r="C20" s="226"/>
      <c r="D20" s="211"/>
      <c r="E20" s="23"/>
      <c r="F20" s="23"/>
      <c r="G20" s="24"/>
      <c r="H20" s="24"/>
      <c r="I20" s="24"/>
      <c r="J20" s="24"/>
      <c r="K20" s="22"/>
      <c r="L20" s="22"/>
      <c r="M20" s="24"/>
      <c r="N20" s="22"/>
    </row>
    <row r="21" spans="1:14" ht="12" customHeight="1" x14ac:dyDescent="0.2">
      <c r="A21" s="224"/>
      <c r="B21" s="225"/>
      <c r="C21" s="226"/>
      <c r="D21" s="211"/>
      <c r="E21" s="23"/>
      <c r="F21" s="23"/>
      <c r="G21" s="24"/>
      <c r="H21" s="24"/>
      <c r="I21" s="24"/>
      <c r="J21" s="24"/>
      <c r="K21" s="22"/>
      <c r="L21" s="22"/>
      <c r="M21" s="24"/>
      <c r="N21" s="22"/>
    </row>
    <row r="22" spans="1:14" ht="12" customHeight="1" x14ac:dyDescent="0.2">
      <c r="A22" s="224"/>
      <c r="B22" s="225"/>
      <c r="C22" s="226"/>
      <c r="D22" s="211"/>
      <c r="E22" s="23"/>
      <c r="F22" s="23"/>
      <c r="G22" s="24"/>
      <c r="H22" s="24"/>
      <c r="I22" s="24"/>
      <c r="J22" s="24"/>
      <c r="K22" s="22"/>
      <c r="L22" s="22"/>
      <c r="M22" s="24"/>
      <c r="N22" s="22"/>
    </row>
    <row r="23" spans="1:14" ht="12" customHeight="1" x14ac:dyDescent="0.2">
      <c r="A23" s="224"/>
      <c r="B23" s="225"/>
      <c r="C23" s="226"/>
      <c r="D23" s="211"/>
      <c r="E23" s="23"/>
      <c r="F23" s="23"/>
      <c r="G23" s="24"/>
      <c r="H23" s="24"/>
      <c r="I23" s="24"/>
      <c r="J23" s="24"/>
      <c r="K23" s="22"/>
      <c r="L23" s="22"/>
      <c r="M23" s="24"/>
      <c r="N23" s="22"/>
    </row>
    <row r="24" spans="1:14" ht="12" customHeight="1" x14ac:dyDescent="0.2">
      <c r="A24" s="224" t="s">
        <v>183</v>
      </c>
      <c r="B24" s="225"/>
      <c r="C24" s="226"/>
      <c r="D24" s="211"/>
      <c r="E24" s="23"/>
      <c r="F24" s="23"/>
      <c r="G24" s="24"/>
      <c r="H24" s="24"/>
      <c r="I24" s="24"/>
      <c r="J24" s="24"/>
      <c r="K24" s="22"/>
      <c r="L24" s="22"/>
      <c r="M24" s="24"/>
      <c r="N24" s="22"/>
    </row>
    <row r="25" spans="1:14" ht="12" customHeight="1" x14ac:dyDescent="0.2">
      <c r="A25" s="224" t="s">
        <v>184</v>
      </c>
      <c r="B25" s="225"/>
      <c r="C25" s="226"/>
      <c r="D25" s="211" t="s">
        <v>182</v>
      </c>
      <c r="E25" s="23" t="s">
        <v>157</v>
      </c>
      <c r="F25" s="23">
        <v>1</v>
      </c>
      <c r="H25" s="24">
        <f>'FSUP-II VIAGENS'!L13</f>
        <v>148.22</v>
      </c>
      <c r="I25" s="24">
        <f>((1+0.1)*(1+'FSUP-VI Det. Desp Fiscais'!$G$29%)*G25)</f>
        <v>0</v>
      </c>
      <c r="J25" s="24">
        <f>ROUND(F25*I25,2)</f>
        <v>0</v>
      </c>
      <c r="K25" s="22"/>
      <c r="L25" s="22"/>
      <c r="M25" s="24"/>
      <c r="N25" s="22"/>
    </row>
    <row r="26" spans="1:14" ht="12" customHeight="1" x14ac:dyDescent="0.2">
      <c r="A26" s="224"/>
      <c r="B26" s="225"/>
      <c r="C26" s="226"/>
      <c r="D26" s="211"/>
      <c r="E26" s="23"/>
      <c r="F26" s="23"/>
      <c r="G26" s="24"/>
      <c r="H26" s="24"/>
      <c r="I26" s="24"/>
      <c r="J26" s="24"/>
      <c r="K26" s="22"/>
      <c r="L26" s="22"/>
      <c r="M26" s="24"/>
      <c r="N26" s="22"/>
    </row>
    <row r="27" spans="1:14" ht="12" customHeight="1" x14ac:dyDescent="0.2">
      <c r="A27" s="224"/>
      <c r="B27" s="225"/>
      <c r="C27" s="226"/>
      <c r="D27" s="211"/>
      <c r="E27" s="23"/>
      <c r="F27" s="23"/>
      <c r="G27" s="24"/>
      <c r="H27" s="24"/>
      <c r="I27" s="24"/>
      <c r="J27" s="24"/>
      <c r="K27" s="22"/>
      <c r="L27" s="22"/>
      <c r="M27" s="24"/>
      <c r="N27" s="22"/>
    </row>
    <row r="28" spans="1:14" ht="12" customHeight="1" x14ac:dyDescent="0.2">
      <c r="A28" s="227"/>
      <c r="B28" s="228"/>
      <c r="C28" s="229"/>
      <c r="D28" s="230"/>
      <c r="E28" s="164"/>
      <c r="F28" s="164"/>
      <c r="G28" s="165"/>
      <c r="H28" s="165"/>
      <c r="I28" s="165"/>
      <c r="J28" s="165"/>
      <c r="K28" s="166"/>
      <c r="L28" s="166"/>
      <c r="M28" s="165"/>
      <c r="N28" s="166"/>
    </row>
    <row r="29" spans="1:14" ht="12" customHeight="1" x14ac:dyDescent="0.2">
      <c r="A29" s="227"/>
      <c r="B29" s="228"/>
      <c r="C29" s="229"/>
      <c r="D29" s="230"/>
      <c r="E29" s="164"/>
      <c r="F29" s="164"/>
      <c r="G29" s="165"/>
      <c r="H29" s="165"/>
      <c r="I29" s="165"/>
      <c r="J29" s="165"/>
      <c r="K29" s="166"/>
      <c r="L29" s="166"/>
      <c r="M29" s="165"/>
      <c r="N29" s="166"/>
    </row>
    <row r="30" spans="1:14" ht="12" customHeight="1" x14ac:dyDescent="0.2">
      <c r="A30" s="227"/>
      <c r="B30" s="228"/>
      <c r="C30" s="229"/>
      <c r="D30" s="230"/>
      <c r="E30" s="164"/>
      <c r="F30" s="164"/>
      <c r="G30" s="165"/>
      <c r="H30" s="165"/>
      <c r="I30" s="165"/>
      <c r="J30" s="165"/>
      <c r="K30" s="166"/>
      <c r="L30" s="166"/>
      <c r="M30" s="165"/>
      <c r="N30" s="166"/>
    </row>
    <row r="31" spans="1:14" ht="12" customHeight="1" x14ac:dyDescent="0.2">
      <c r="A31" s="227"/>
      <c r="B31" s="228"/>
      <c r="C31" s="229"/>
      <c r="D31" s="230"/>
      <c r="E31" s="164"/>
      <c r="F31" s="164"/>
      <c r="G31" s="165"/>
      <c r="H31" s="165"/>
      <c r="I31" s="165"/>
      <c r="J31" s="165"/>
      <c r="K31" s="166"/>
      <c r="L31" s="166"/>
      <c r="M31" s="165"/>
      <c r="N31" s="166"/>
    </row>
    <row r="32" spans="1:14" ht="12" customHeight="1" x14ac:dyDescent="0.2">
      <c r="A32" s="224"/>
      <c r="B32" s="225"/>
      <c r="C32" s="226"/>
      <c r="D32" s="211"/>
      <c r="E32" s="23"/>
      <c r="F32" s="23"/>
      <c r="G32" s="24"/>
      <c r="H32" s="24"/>
      <c r="I32" s="24"/>
      <c r="J32" s="24"/>
      <c r="K32" s="22"/>
      <c r="L32" s="22"/>
      <c r="M32" s="24"/>
      <c r="N32" s="22"/>
    </row>
    <row r="33" spans="1:15" ht="12" customHeight="1" x14ac:dyDescent="0.2">
      <c r="A33" s="224"/>
      <c r="B33" s="225"/>
      <c r="C33" s="226"/>
      <c r="D33" s="211"/>
      <c r="E33" s="23"/>
      <c r="F33" s="23"/>
      <c r="G33" s="24"/>
      <c r="H33" s="24"/>
      <c r="I33" s="24"/>
      <c r="J33" s="24"/>
      <c r="K33" s="22"/>
      <c r="L33" s="22"/>
      <c r="M33" s="24"/>
      <c r="N33" s="22"/>
    </row>
    <row r="34" spans="1:15" ht="12" customHeight="1" x14ac:dyDescent="0.2">
      <c r="A34" s="224"/>
      <c r="B34" s="225"/>
      <c r="C34" s="226"/>
      <c r="D34" s="211"/>
      <c r="E34" s="23"/>
      <c r="F34" s="23"/>
      <c r="G34" s="24"/>
      <c r="H34" s="24"/>
      <c r="I34" s="24"/>
      <c r="J34" s="24"/>
      <c r="K34" s="22"/>
      <c r="L34" s="22"/>
      <c r="M34" s="24"/>
      <c r="N34" s="22"/>
    </row>
    <row r="35" spans="1:15" ht="12" customHeight="1" x14ac:dyDescent="0.2">
      <c r="A35" s="224"/>
      <c r="B35" s="225"/>
      <c r="C35" s="226"/>
      <c r="D35" s="211"/>
      <c r="E35" s="23"/>
      <c r="F35" s="23"/>
      <c r="G35" s="24"/>
      <c r="H35" s="24"/>
      <c r="I35" s="24"/>
      <c r="J35" s="24"/>
      <c r="K35" s="22"/>
      <c r="L35" s="22"/>
      <c r="M35" s="24"/>
      <c r="N35" s="22"/>
    </row>
    <row r="36" spans="1:15" ht="12" customHeight="1" x14ac:dyDescent="0.2">
      <c r="A36" s="224"/>
      <c r="B36" s="225"/>
      <c r="C36" s="226"/>
      <c r="D36" s="211"/>
      <c r="E36" s="23"/>
      <c r="F36" s="119"/>
      <c r="G36" s="120"/>
      <c r="H36" s="120"/>
      <c r="I36" s="24"/>
      <c r="J36" s="24"/>
      <c r="K36" s="119"/>
      <c r="L36" s="22"/>
      <c r="M36" s="24"/>
      <c r="N36" s="22"/>
    </row>
    <row r="37" spans="1:15" ht="12" customHeight="1" x14ac:dyDescent="0.2">
      <c r="A37" s="224"/>
      <c r="B37" s="225"/>
      <c r="C37" s="226"/>
      <c r="D37" s="211"/>
      <c r="E37" s="23"/>
      <c r="F37" s="23"/>
      <c r="G37" s="24"/>
      <c r="H37" s="24"/>
      <c r="I37" s="24"/>
      <c r="J37" s="24"/>
      <c r="K37" s="24"/>
      <c r="L37" s="22"/>
      <c r="M37" s="24"/>
      <c r="N37" s="22"/>
    </row>
    <row r="38" spans="1:15" ht="12" customHeight="1" x14ac:dyDescent="0.2">
      <c r="A38" s="449"/>
      <c r="B38" s="449"/>
      <c r="C38" s="449"/>
      <c r="D38" s="231"/>
      <c r="E38" s="34"/>
      <c r="F38" s="163"/>
      <c r="G38" s="22"/>
      <c r="H38" s="24"/>
      <c r="I38" s="24"/>
      <c r="J38" s="24"/>
      <c r="K38" s="22"/>
      <c r="L38" s="22"/>
      <c r="M38" s="24"/>
      <c r="N38" s="22"/>
    </row>
    <row r="39" spans="1:15" ht="12" customHeight="1" x14ac:dyDescent="0.2">
      <c r="A39" s="232"/>
      <c r="B39" s="233"/>
      <c r="C39" s="234"/>
      <c r="D39" s="234"/>
      <c r="E39" s="23"/>
      <c r="F39" s="163"/>
      <c r="G39" s="22"/>
      <c r="H39" s="24"/>
      <c r="I39" s="24"/>
      <c r="J39" s="24"/>
      <c r="K39" s="22"/>
      <c r="L39" s="22"/>
      <c r="M39" s="24"/>
      <c r="N39" s="22"/>
    </row>
    <row r="40" spans="1:15" ht="12" customHeight="1" x14ac:dyDescent="0.2">
      <c r="A40" s="232"/>
      <c r="B40" s="233"/>
      <c r="C40" s="234"/>
      <c r="D40" s="234"/>
      <c r="E40" s="23"/>
      <c r="F40" s="163"/>
      <c r="G40" s="22"/>
      <c r="H40" s="24"/>
      <c r="I40" s="24"/>
      <c r="J40" s="24"/>
      <c r="K40" s="22"/>
      <c r="L40" s="22"/>
      <c r="M40" s="24"/>
      <c r="N40" s="22"/>
    </row>
    <row r="41" spans="1:15" ht="12" customHeight="1" thickBot="1" x14ac:dyDescent="0.25">
      <c r="A41" s="387" t="s">
        <v>185</v>
      </c>
      <c r="B41" s="387"/>
      <c r="C41" s="387"/>
      <c r="D41" s="387"/>
      <c r="E41" s="387"/>
      <c r="F41" s="387"/>
      <c r="G41" s="22"/>
      <c r="H41" s="121">
        <f>SUM(H12:H40)</f>
        <v>948.22</v>
      </c>
      <c r="I41" s="22"/>
      <c r="J41" s="121">
        <f>SUM(J12:J40)</f>
        <v>997.13</v>
      </c>
      <c r="K41" s="22"/>
      <c r="L41" s="121">
        <f>SUM(L12:L40)</f>
        <v>800</v>
      </c>
      <c r="M41" s="22"/>
      <c r="N41" s="122">
        <f>SUM(N12:N40)</f>
        <v>997.13</v>
      </c>
      <c r="O41" s="167"/>
    </row>
    <row r="42" spans="1:15" ht="11.45" customHeight="1" thickTop="1" x14ac:dyDescent="0.2">
      <c r="A42" s="336" t="s">
        <v>36</v>
      </c>
      <c r="B42" s="336"/>
      <c r="C42" s="336"/>
      <c r="D42" s="336"/>
      <c r="E42" s="336"/>
      <c r="F42" s="336"/>
      <c r="G42" s="337" t="s">
        <v>37</v>
      </c>
      <c r="H42" s="337"/>
      <c r="I42" s="337"/>
      <c r="J42" s="337"/>
      <c r="K42" s="337"/>
      <c r="L42" s="337"/>
      <c r="M42" s="337"/>
      <c r="N42" s="337"/>
    </row>
    <row r="43" spans="1:15" ht="11.45" customHeight="1" x14ac:dyDescent="0.2">
      <c r="A43" s="298" t="s">
        <v>38</v>
      </c>
      <c r="B43" s="298"/>
      <c r="C43" s="298"/>
      <c r="D43" s="298"/>
      <c r="E43" s="298"/>
      <c r="F43" s="298"/>
      <c r="G43" s="298" t="s">
        <v>39</v>
      </c>
      <c r="H43" s="298"/>
      <c r="I43" s="298"/>
      <c r="J43" s="298"/>
      <c r="K43" s="298"/>
      <c r="L43" s="298"/>
      <c r="M43" s="298"/>
      <c r="N43" s="298"/>
    </row>
    <row r="44" spans="1:15" ht="11.45" customHeight="1" x14ac:dyDescent="0.2">
      <c r="A44" s="321" t="s">
        <v>40</v>
      </c>
      <c r="B44" s="321"/>
      <c r="C44" s="321"/>
      <c r="D44" s="321"/>
      <c r="E44" s="321"/>
      <c r="F44" s="321"/>
      <c r="G44" s="321"/>
      <c r="H44" s="321"/>
      <c r="I44" s="321"/>
      <c r="J44" s="321"/>
      <c r="K44" s="321"/>
      <c r="L44" s="297" t="s">
        <v>41</v>
      </c>
      <c r="M44" s="297"/>
      <c r="N44" s="297"/>
    </row>
    <row r="45" spans="1:15" ht="42" customHeight="1" x14ac:dyDescent="0.2">
      <c r="A45" s="298"/>
      <c r="B45" s="298"/>
      <c r="C45" s="298"/>
      <c r="D45" s="298"/>
      <c r="E45" s="298"/>
      <c r="F45" s="298"/>
      <c r="G45" s="298"/>
      <c r="H45" s="298"/>
      <c r="I45" s="298"/>
      <c r="J45" s="298"/>
      <c r="K45" s="298"/>
      <c r="L45" s="444">
        <v>45281</v>
      </c>
      <c r="M45" s="445"/>
      <c r="N45" s="445"/>
    </row>
    <row r="46" spans="1:15" ht="10.5" customHeight="1" x14ac:dyDescent="0.2">
      <c r="A46" s="442" t="s">
        <v>186</v>
      </c>
      <c r="B46" s="442"/>
      <c r="C46" s="442"/>
      <c r="D46" s="442"/>
      <c r="E46" s="442"/>
      <c r="F46" s="442"/>
      <c r="G46" s="442"/>
      <c r="H46" s="442"/>
      <c r="I46" s="442"/>
      <c r="J46" s="442"/>
      <c r="K46" s="442"/>
      <c r="L46" s="442"/>
      <c r="M46" s="442"/>
      <c r="N46" s="442"/>
    </row>
    <row r="47" spans="1:15" ht="11.1" customHeight="1" x14ac:dyDescent="0.2">
      <c r="A47" s="443" t="s">
        <v>187</v>
      </c>
      <c r="B47" s="443"/>
      <c r="C47" s="443"/>
      <c r="D47" s="443"/>
      <c r="E47" s="443"/>
      <c r="F47" s="443"/>
      <c r="G47" s="443"/>
      <c r="H47" s="443"/>
      <c r="I47" s="443"/>
      <c r="J47" s="443"/>
      <c r="K47" s="443"/>
      <c r="L47" s="443"/>
      <c r="M47" s="443"/>
      <c r="N47" s="443"/>
    </row>
    <row r="48" spans="1:15" ht="12" customHeight="1" x14ac:dyDescent="0.2">
      <c r="A48" s="168"/>
      <c r="B48" s="169"/>
      <c r="C48" s="169"/>
      <c r="D48" s="169"/>
      <c r="E48" s="169"/>
      <c r="F48" s="169"/>
      <c r="G48" s="169"/>
      <c r="H48" s="169"/>
      <c r="I48" s="169"/>
      <c r="J48" s="169"/>
      <c r="K48" s="169"/>
      <c r="L48" s="169"/>
      <c r="M48" s="169"/>
      <c r="N48" s="169"/>
    </row>
  </sheetData>
  <sheetProtection selectLockedCells="1" selectUnlockedCells="1"/>
  <mergeCells count="31">
    <mergeCell ref="A43:F43"/>
    <mergeCell ref="A38:C38"/>
    <mergeCell ref="A41:F41"/>
    <mergeCell ref="D9:D11"/>
    <mergeCell ref="A42:F42"/>
    <mergeCell ref="A1:N2"/>
    <mergeCell ref="K9:N9"/>
    <mergeCell ref="A3:L4"/>
    <mergeCell ref="M3:N3"/>
    <mergeCell ref="M4:N4"/>
    <mergeCell ref="A7:B7"/>
    <mergeCell ref="C7:L7"/>
    <mergeCell ref="G9:J9"/>
    <mergeCell ref="A9:C11"/>
    <mergeCell ref="F9:F11"/>
    <mergeCell ref="G42:N42"/>
    <mergeCell ref="E9:E11"/>
    <mergeCell ref="A46:N46"/>
    <mergeCell ref="A5:N5"/>
    <mergeCell ref="A47:N47"/>
    <mergeCell ref="M7:N7"/>
    <mergeCell ref="G43:N43"/>
    <mergeCell ref="A44:K44"/>
    <mergeCell ref="L44:N44"/>
    <mergeCell ref="M8:N8"/>
    <mergeCell ref="A45:K45"/>
    <mergeCell ref="G10:H10"/>
    <mergeCell ref="L45:N45"/>
    <mergeCell ref="I10:J10"/>
    <mergeCell ref="K10:L10"/>
    <mergeCell ref="M10:N10"/>
  </mergeCells>
  <phoneticPr fontId="17" type="noConversion"/>
  <printOptions horizontalCentered="1"/>
  <pageMargins left="0.78740157480314965" right="1.1811023622047245" top="0.74803149606299213" bottom="0.27559055118110237" header="0.51181102362204722" footer="0.51181102362204722"/>
  <pageSetup paperSize="9" scale="91" firstPageNumber="0" orientation="landscape" horizontalDpi="4294967294" verticalDpi="4294967294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5"/>
  <sheetViews>
    <sheetView showGridLines="0" zoomScaleNormal="100" zoomScaleSheetLayoutView="100" workbookViewId="0">
      <pane ySplit="1" activePane="bottomLeft"/>
      <selection activeCell="L25" sqref="L25"/>
      <selection pane="bottomLeft" activeCell="A3" sqref="A3:G25"/>
    </sheetView>
  </sheetViews>
  <sheetFormatPr defaultColWidth="11.42578125" defaultRowHeight="15" customHeight="1" x14ac:dyDescent="0.2"/>
  <cols>
    <col min="1" max="1" width="5.42578125" style="26" customWidth="1"/>
    <col min="2" max="2" width="18.42578125" style="26" customWidth="1"/>
    <col min="3" max="3" width="23.140625" style="26" customWidth="1"/>
    <col min="4" max="4" width="6.140625" style="26" customWidth="1"/>
    <col min="5" max="5" width="8.140625" style="26" customWidth="1"/>
    <col min="6" max="6" width="13.85546875" style="26" customWidth="1"/>
    <col min="7" max="7" width="13.85546875" style="28" customWidth="1"/>
    <col min="8" max="16384" width="11.42578125" style="26"/>
  </cols>
  <sheetData>
    <row r="1" spans="1:7" ht="15" customHeight="1" x14ac:dyDescent="0.2">
      <c r="A1" s="447"/>
      <c r="B1" s="447"/>
      <c r="C1" s="447"/>
      <c r="D1" s="447"/>
      <c r="E1" s="447"/>
      <c r="F1" s="447"/>
      <c r="G1" s="447"/>
    </row>
    <row r="2" spans="1:7" ht="15" customHeight="1" x14ac:dyDescent="0.2">
      <c r="A2" s="448"/>
      <c r="B2" s="448"/>
      <c r="C2" s="448"/>
      <c r="D2" s="448"/>
      <c r="E2" s="448"/>
      <c r="F2" s="448"/>
      <c r="G2" s="448"/>
    </row>
    <row r="3" spans="1:7" ht="15" customHeight="1" x14ac:dyDescent="0.2">
      <c r="A3" s="450" t="s">
        <v>188</v>
      </c>
      <c r="B3" s="450"/>
      <c r="C3" s="450"/>
      <c r="D3" s="450"/>
      <c r="E3" s="450"/>
      <c r="F3" s="450"/>
      <c r="G3" s="5" t="s">
        <v>4</v>
      </c>
    </row>
    <row r="4" spans="1:7" ht="15" customHeight="1" x14ac:dyDescent="0.2">
      <c r="A4" s="450"/>
      <c r="B4" s="450"/>
      <c r="C4" s="450"/>
      <c r="D4" s="450"/>
      <c r="E4" s="450"/>
      <c r="F4" s="450"/>
      <c r="G4" s="18" t="s">
        <v>189</v>
      </c>
    </row>
    <row r="5" spans="1:7" ht="12.6" customHeight="1" thickTop="1" x14ac:dyDescent="0.2">
      <c r="A5" s="336" t="s">
        <v>6</v>
      </c>
      <c r="B5" s="336"/>
      <c r="C5" s="336"/>
      <c r="D5" s="336"/>
      <c r="E5" s="336"/>
      <c r="F5" s="336"/>
      <c r="G5" s="336"/>
    </row>
    <row r="6" spans="1:7" ht="12.6" customHeight="1" x14ac:dyDescent="0.2">
      <c r="A6" s="453" t="s">
        <v>7</v>
      </c>
      <c r="B6" s="454"/>
      <c r="C6" s="454"/>
      <c r="D6" s="454"/>
      <c r="E6" s="454"/>
      <c r="F6" s="454"/>
      <c r="G6" s="455"/>
    </row>
    <row r="7" spans="1:7" ht="12.6" customHeight="1" x14ac:dyDescent="0.2">
      <c r="A7" s="30" t="s">
        <v>8</v>
      </c>
      <c r="B7" s="235"/>
      <c r="C7" s="297" t="s">
        <v>9</v>
      </c>
      <c r="D7" s="297"/>
      <c r="E7" s="297"/>
      <c r="F7" s="297"/>
      <c r="G7" s="31" t="s">
        <v>10</v>
      </c>
    </row>
    <row r="8" spans="1:7" ht="12.6" customHeight="1" x14ac:dyDescent="0.2">
      <c r="A8" s="10" t="s">
        <v>11</v>
      </c>
      <c r="B8" s="21"/>
      <c r="C8" s="10" t="str">
        <f>FSUP!E8</f>
        <v>Serviços Especializados de Assessoria Ambiental</v>
      </c>
      <c r="D8" s="27"/>
      <c r="E8" s="27"/>
      <c r="F8" s="25"/>
      <c r="G8" s="11" t="s">
        <v>13</v>
      </c>
    </row>
    <row r="9" spans="1:7" ht="12.6" customHeight="1" x14ac:dyDescent="0.2">
      <c r="A9" s="451" t="s">
        <v>190</v>
      </c>
      <c r="B9" s="452" t="s">
        <v>128</v>
      </c>
      <c r="C9" s="452"/>
      <c r="D9" s="452"/>
      <c r="E9" s="452"/>
      <c r="F9" s="392" t="s">
        <v>191</v>
      </c>
      <c r="G9" s="392"/>
    </row>
    <row r="10" spans="1:7" ht="12.6" customHeight="1" x14ac:dyDescent="0.2">
      <c r="A10" s="451"/>
      <c r="B10" s="452"/>
      <c r="C10" s="452"/>
      <c r="D10" s="452"/>
      <c r="E10" s="452"/>
      <c r="F10" s="32" t="s">
        <v>192</v>
      </c>
      <c r="G10" s="33" t="s">
        <v>193</v>
      </c>
    </row>
    <row r="11" spans="1:7" ht="36.75" customHeight="1" x14ac:dyDescent="0.2">
      <c r="A11" s="34">
        <v>1</v>
      </c>
      <c r="B11" s="456" t="s">
        <v>194</v>
      </c>
      <c r="C11" s="456"/>
      <c r="D11" s="456"/>
      <c r="E11" s="456"/>
      <c r="F11" s="35">
        <v>3</v>
      </c>
      <c r="G11" s="236">
        <f>ROUND(F11/$F$17*FSUP!N$34,2)</f>
        <v>177286.41</v>
      </c>
    </row>
    <row r="12" spans="1:7" ht="24" customHeight="1" x14ac:dyDescent="0.2">
      <c r="A12" s="34">
        <v>2</v>
      </c>
      <c r="B12" s="457" t="s">
        <v>195</v>
      </c>
      <c r="C12" s="457"/>
      <c r="D12" s="457"/>
      <c r="E12" s="457"/>
      <c r="F12" s="35">
        <v>3</v>
      </c>
      <c r="G12" s="236">
        <f>ROUND(F12/$F$17*FSUP!N$34,2)</f>
        <v>177286.41</v>
      </c>
    </row>
    <row r="13" spans="1:7" ht="24.75" customHeight="1" x14ac:dyDescent="0.2">
      <c r="A13" s="34">
        <v>3</v>
      </c>
      <c r="B13" s="457" t="s">
        <v>196</v>
      </c>
      <c r="C13" s="457"/>
      <c r="D13" s="457"/>
      <c r="E13" s="457"/>
      <c r="F13" s="35">
        <v>2</v>
      </c>
      <c r="G13" s="236">
        <f>ROUND(F13/$F$17*FSUP!N$34,2)</f>
        <v>118190.94</v>
      </c>
    </row>
    <row r="14" spans="1:7" ht="15" customHeight="1" x14ac:dyDescent="0.2">
      <c r="A14" s="36"/>
      <c r="B14" s="237"/>
      <c r="C14" s="237"/>
      <c r="D14" s="237"/>
      <c r="E14" s="238"/>
      <c r="F14" s="35"/>
      <c r="G14" s="236"/>
    </row>
    <row r="15" spans="1:7" ht="15" customHeight="1" x14ac:dyDescent="0.2">
      <c r="A15" s="37"/>
      <c r="B15" s="239"/>
      <c r="C15" s="239"/>
      <c r="D15" s="239"/>
      <c r="E15" s="240"/>
      <c r="F15" s="241"/>
      <c r="G15" s="236"/>
    </row>
    <row r="16" spans="1:7" ht="15" customHeight="1" x14ac:dyDescent="0.2">
      <c r="A16" s="37"/>
      <c r="B16" s="239"/>
      <c r="C16" s="239"/>
      <c r="D16" s="239"/>
      <c r="E16" s="240"/>
      <c r="F16" s="241"/>
      <c r="G16" s="236"/>
    </row>
    <row r="17" spans="1:7" ht="20.100000000000001" customHeight="1" x14ac:dyDescent="0.2">
      <c r="A17" s="29"/>
      <c r="B17" s="458" t="s">
        <v>197</v>
      </c>
      <c r="C17" s="458"/>
      <c r="D17" s="458"/>
      <c r="E17" s="458"/>
      <c r="F17" s="242">
        <f>SUM(F11:F14)</f>
        <v>8</v>
      </c>
      <c r="G17" s="39">
        <f>SUM(G11:G16)</f>
        <v>472763.76</v>
      </c>
    </row>
    <row r="18" spans="1:7" ht="17.25" customHeight="1" thickBot="1" x14ac:dyDescent="0.25">
      <c r="A18" s="40"/>
      <c r="B18" s="41"/>
      <c r="C18" s="41"/>
      <c r="D18" s="41"/>
      <c r="E18" s="41"/>
      <c r="F18" s="41"/>
      <c r="G18" s="42"/>
    </row>
    <row r="19" spans="1:7" ht="17.25" customHeight="1" thickTop="1" thickBot="1" x14ac:dyDescent="0.25">
      <c r="A19" s="459" t="s">
        <v>198</v>
      </c>
      <c r="B19" s="460"/>
      <c r="C19" s="461"/>
      <c r="D19" s="459" t="s">
        <v>199</v>
      </c>
      <c r="E19" s="462"/>
      <c r="F19" s="462"/>
      <c r="G19" s="463"/>
    </row>
    <row r="20" spans="1:7" ht="16.5" customHeight="1" thickTop="1" x14ac:dyDescent="0.2">
      <c r="A20" s="459" t="s">
        <v>38</v>
      </c>
      <c r="B20" s="460"/>
      <c r="C20" s="461"/>
      <c r="D20" s="459" t="s">
        <v>286</v>
      </c>
      <c r="E20" s="462"/>
      <c r="F20" s="462"/>
      <c r="G20" s="463"/>
    </row>
    <row r="21" spans="1:7" ht="45" customHeight="1" x14ac:dyDescent="0.2">
      <c r="A21" s="466" t="s">
        <v>40</v>
      </c>
      <c r="B21" s="467"/>
      <c r="C21" s="467"/>
      <c r="D21" s="467"/>
      <c r="E21" s="468"/>
      <c r="F21" s="464" t="s">
        <v>288</v>
      </c>
      <c r="G21" s="465"/>
    </row>
    <row r="22" spans="1:7" ht="15" customHeight="1" x14ac:dyDescent="0.2">
      <c r="A22" s="30" t="s">
        <v>200</v>
      </c>
      <c r="B22" s="243"/>
      <c r="C22" s="243"/>
      <c r="D22" s="243"/>
      <c r="E22" s="243"/>
      <c r="F22" s="243"/>
      <c r="G22" s="244"/>
    </row>
    <row r="23" spans="1:7" ht="15" customHeight="1" x14ac:dyDescent="0.2">
      <c r="A23" s="321" t="s">
        <v>201</v>
      </c>
      <c r="B23" s="321"/>
      <c r="C23" s="321"/>
      <c r="D23" s="321"/>
      <c r="E23" s="321"/>
      <c r="F23" s="321"/>
      <c r="G23" s="321"/>
    </row>
    <row r="24" spans="1:7" ht="15" customHeight="1" x14ac:dyDescent="0.2">
      <c r="A24" s="321" t="s">
        <v>202</v>
      </c>
      <c r="B24" s="321"/>
      <c r="C24" s="321"/>
      <c r="D24" s="321"/>
      <c r="E24" s="321"/>
      <c r="F24" s="321"/>
      <c r="G24" s="321"/>
    </row>
    <row r="25" spans="1:7" ht="15" customHeight="1" x14ac:dyDescent="0.2">
      <c r="A25" s="19"/>
      <c r="B25" s="20"/>
      <c r="C25" s="20"/>
      <c r="D25" s="20"/>
      <c r="E25" s="20"/>
      <c r="F25" s="20"/>
      <c r="G25" s="46"/>
    </row>
  </sheetData>
  <sheetProtection selectLockedCells="1" selectUnlockedCells="1"/>
  <mergeCells count="20">
    <mergeCell ref="A24:G24"/>
    <mergeCell ref="B11:E11"/>
    <mergeCell ref="B12:E12"/>
    <mergeCell ref="B13:E13"/>
    <mergeCell ref="B17:E17"/>
    <mergeCell ref="A23:G23"/>
    <mergeCell ref="A20:C20"/>
    <mergeCell ref="D20:G20"/>
    <mergeCell ref="F21:G21"/>
    <mergeCell ref="A19:C19"/>
    <mergeCell ref="D19:G19"/>
    <mergeCell ref="A21:E21"/>
    <mergeCell ref="A1:G2"/>
    <mergeCell ref="A3:F4"/>
    <mergeCell ref="A5:G5"/>
    <mergeCell ref="C7:F7"/>
    <mergeCell ref="A9:A10"/>
    <mergeCell ref="B9:E10"/>
    <mergeCell ref="F9:G9"/>
    <mergeCell ref="A6:G6"/>
  </mergeCells>
  <phoneticPr fontId="17" type="noConversion"/>
  <printOptions horizontalCentered="1"/>
  <pageMargins left="0.59055118110236227" right="0.39370078740157483" top="1.1811023622047245" bottom="0.59055118110236227" header="0.51181102362204722" footer="0.51181102362204722"/>
  <pageSetup paperSize="9" scale="95" firstPageNumber="0" orientation="portrait" horizontalDpi="4294967294" verticalDpi="4294967294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5"/>
  <sheetViews>
    <sheetView showGridLines="0" zoomScaleNormal="100" zoomScaleSheetLayoutView="130" workbookViewId="0">
      <selection activeCell="A3" sqref="A3:H45"/>
    </sheetView>
  </sheetViews>
  <sheetFormatPr defaultColWidth="11.42578125" defaultRowHeight="15" customHeight="1" x14ac:dyDescent="0.2"/>
  <cols>
    <col min="1" max="1" width="3.85546875" style="26" customWidth="1"/>
    <col min="2" max="2" width="13.42578125" style="26" customWidth="1"/>
    <col min="3" max="3" width="11.42578125" style="26"/>
    <col min="4" max="4" width="9.85546875" style="26" customWidth="1"/>
    <col min="5" max="5" width="10.85546875" style="26" customWidth="1"/>
    <col min="6" max="6" width="12.42578125" style="26" customWidth="1"/>
    <col min="7" max="8" width="13.140625" style="26" customWidth="1"/>
    <col min="9" max="9" width="11.42578125" style="26"/>
    <col min="10" max="10" width="13.85546875" style="26" bestFit="1" customWidth="1"/>
    <col min="11" max="16384" width="11.42578125" style="26"/>
  </cols>
  <sheetData>
    <row r="1" spans="1:8" ht="15" customHeight="1" x14ac:dyDescent="0.2">
      <c r="A1" s="447"/>
      <c r="B1" s="447"/>
      <c r="C1" s="447"/>
      <c r="D1" s="447"/>
      <c r="E1" s="447"/>
      <c r="F1" s="447"/>
      <c r="G1" s="447"/>
      <c r="H1" s="447"/>
    </row>
    <row r="2" spans="1:8" ht="15" customHeight="1" x14ac:dyDescent="0.2">
      <c r="A2" s="448"/>
      <c r="B2" s="448"/>
      <c r="C2" s="448"/>
      <c r="D2" s="448"/>
      <c r="E2" s="448"/>
      <c r="F2" s="448"/>
      <c r="G2" s="448"/>
      <c r="H2" s="448"/>
    </row>
    <row r="3" spans="1:8" ht="15" customHeight="1" x14ac:dyDescent="0.2">
      <c r="A3" s="450" t="s">
        <v>203</v>
      </c>
      <c r="B3" s="450"/>
      <c r="C3" s="450"/>
      <c r="D3" s="450"/>
      <c r="E3" s="450"/>
      <c r="F3" s="450"/>
      <c r="G3" s="450"/>
      <c r="H3" s="5" t="s">
        <v>4</v>
      </c>
    </row>
    <row r="4" spans="1:8" ht="15" customHeight="1" x14ac:dyDescent="0.2">
      <c r="A4" s="450"/>
      <c r="B4" s="450"/>
      <c r="C4" s="450"/>
      <c r="D4" s="450"/>
      <c r="E4" s="450"/>
      <c r="F4" s="450"/>
      <c r="G4" s="450"/>
      <c r="H4" s="18" t="s">
        <v>204</v>
      </c>
    </row>
    <row r="5" spans="1:8" ht="12.6" customHeight="1" x14ac:dyDescent="0.2">
      <c r="A5" s="336" t="s">
        <v>6</v>
      </c>
      <c r="B5" s="336"/>
      <c r="C5" s="336"/>
      <c r="D5" s="336"/>
      <c r="E5" s="336"/>
      <c r="F5" s="336"/>
      <c r="G5" s="336"/>
      <c r="H5" s="336"/>
    </row>
    <row r="6" spans="1:8" ht="12.6" customHeight="1" x14ac:dyDescent="0.2">
      <c r="A6" s="273" t="s">
        <v>287</v>
      </c>
      <c r="B6" s="273"/>
      <c r="C6" s="273"/>
      <c r="D6" s="273"/>
      <c r="E6" s="273"/>
      <c r="F6" s="273"/>
      <c r="G6" s="273"/>
      <c r="H6" s="273"/>
    </row>
    <row r="7" spans="1:8" ht="12.6" customHeight="1" x14ac:dyDescent="0.2">
      <c r="A7" s="30" t="s">
        <v>8</v>
      </c>
      <c r="B7" s="235"/>
      <c r="C7" s="297" t="s">
        <v>9</v>
      </c>
      <c r="D7" s="297"/>
      <c r="E7" s="297"/>
      <c r="F7" s="297"/>
      <c r="G7" s="297"/>
      <c r="H7" s="6" t="s">
        <v>10</v>
      </c>
    </row>
    <row r="8" spans="1:8" ht="12.6" customHeight="1" x14ac:dyDescent="0.2">
      <c r="A8" s="10" t="s">
        <v>11</v>
      </c>
      <c r="B8" s="21"/>
      <c r="C8" s="10" t="str">
        <f>FSUP!E8</f>
        <v>Serviços Especializados de Assessoria Ambiental</v>
      </c>
      <c r="D8" s="27"/>
      <c r="E8" s="27"/>
      <c r="F8" s="27"/>
      <c r="G8" s="25"/>
      <c r="H8" s="265">
        <v>45279</v>
      </c>
    </row>
    <row r="9" spans="1:8" ht="12.6" customHeight="1" x14ac:dyDescent="0.2">
      <c r="A9" s="451" t="s">
        <v>205</v>
      </c>
      <c r="B9" s="451"/>
      <c r="C9" s="451"/>
      <c r="D9" s="451"/>
      <c r="E9" s="451"/>
      <c r="F9" s="392" t="s">
        <v>191</v>
      </c>
      <c r="G9" s="392"/>
      <c r="H9" s="392"/>
    </row>
    <row r="10" spans="1:8" ht="12.6" customHeight="1" x14ac:dyDescent="0.2">
      <c r="A10" s="451"/>
      <c r="B10" s="451"/>
      <c r="C10" s="451"/>
      <c r="D10" s="451"/>
      <c r="E10" s="451"/>
      <c r="F10" s="32" t="s">
        <v>206</v>
      </c>
      <c r="G10" s="32" t="s">
        <v>207</v>
      </c>
      <c r="H10" s="32" t="s">
        <v>193</v>
      </c>
    </row>
    <row r="11" spans="1:8" ht="15" customHeight="1" x14ac:dyDescent="0.2">
      <c r="A11" s="469"/>
      <c r="B11" s="469"/>
      <c r="C11" s="469"/>
      <c r="D11" s="469"/>
      <c r="E11" s="469"/>
      <c r="F11" s="22"/>
      <c r="G11" s="22"/>
      <c r="H11" s="22"/>
    </row>
    <row r="12" spans="1:8" ht="15" customHeight="1" x14ac:dyDescent="0.2">
      <c r="A12" s="476" t="s">
        <v>208</v>
      </c>
      <c r="B12" s="476"/>
      <c r="C12" s="476"/>
      <c r="D12" s="476"/>
      <c r="E12" s="476"/>
      <c r="F12" s="47">
        <v>2.5</v>
      </c>
      <c r="G12" s="48">
        <f>(1/(1-$F$29/100))*F12</f>
        <v>2.8328611898017</v>
      </c>
      <c r="H12" s="49">
        <f>ROUND(G12/G$29*FSUP!N$36,2)</f>
        <v>342513.44</v>
      </c>
    </row>
    <row r="13" spans="1:8" ht="15" customHeight="1" x14ac:dyDescent="0.2">
      <c r="A13" s="477" t="s">
        <v>209</v>
      </c>
      <c r="B13" s="477"/>
      <c r="C13" s="477"/>
      <c r="D13" s="477"/>
      <c r="E13" s="477"/>
      <c r="F13" s="47">
        <v>1.65</v>
      </c>
      <c r="G13" s="48">
        <f>(1/(1-$F$29/100))*F13</f>
        <v>1.8696883852691217</v>
      </c>
      <c r="H13" s="49">
        <f>ROUND(G13/G$29*FSUP!N$36,2)</f>
        <v>226058.87</v>
      </c>
    </row>
    <row r="14" spans="1:8" ht="15" customHeight="1" x14ac:dyDescent="0.2">
      <c r="A14" s="477" t="s">
        <v>210</v>
      </c>
      <c r="B14" s="477"/>
      <c r="C14" s="477"/>
      <c r="D14" s="477"/>
      <c r="E14" s="477"/>
      <c r="F14" s="47">
        <v>7.6</v>
      </c>
      <c r="G14" s="48">
        <f>(1/(1-$F$29/100))*F14</f>
        <v>8.6118980169971664</v>
      </c>
      <c r="H14" s="49">
        <f>ROUND(G14/G$29*FSUP!N$36,2)</f>
        <v>1041240.87</v>
      </c>
    </row>
    <row r="15" spans="1:8" ht="15" customHeight="1" x14ac:dyDescent="0.2">
      <c r="A15" s="477"/>
      <c r="B15" s="477"/>
      <c r="C15" s="477"/>
      <c r="D15" s="477"/>
      <c r="E15" s="477"/>
      <c r="F15" s="47"/>
      <c r="G15" s="22"/>
      <c r="H15" s="22"/>
    </row>
    <row r="16" spans="1:8" ht="15" customHeight="1" x14ac:dyDescent="0.2">
      <c r="A16" s="245"/>
      <c r="B16" s="246"/>
      <c r="C16" s="246"/>
      <c r="D16" s="246"/>
      <c r="E16" s="246"/>
      <c r="F16" s="47"/>
      <c r="G16" s="22"/>
      <c r="H16" s="22"/>
    </row>
    <row r="17" spans="1:11" ht="15" customHeight="1" x14ac:dyDescent="0.2">
      <c r="A17" s="245"/>
      <c r="B17" s="246"/>
      <c r="C17" s="246"/>
      <c r="D17" s="246"/>
      <c r="E17" s="246"/>
      <c r="F17" s="47"/>
      <c r="G17" s="22"/>
      <c r="H17" s="22"/>
    </row>
    <row r="18" spans="1:11" ht="15" customHeight="1" x14ac:dyDescent="0.2">
      <c r="A18" s="245"/>
      <c r="B18" s="246"/>
      <c r="C18" s="246"/>
      <c r="D18" s="246"/>
      <c r="E18" s="246"/>
      <c r="F18" s="47"/>
      <c r="G18" s="22"/>
      <c r="H18" s="22"/>
    </row>
    <row r="19" spans="1:11" ht="15" customHeight="1" x14ac:dyDescent="0.2">
      <c r="A19" s="245"/>
      <c r="B19" s="246"/>
      <c r="C19" s="246"/>
      <c r="D19" s="246"/>
      <c r="E19" s="246"/>
      <c r="F19" s="47"/>
      <c r="G19" s="22"/>
      <c r="H19" s="22"/>
    </row>
    <row r="20" spans="1:11" ht="15" customHeight="1" x14ac:dyDescent="0.2">
      <c r="A20" s="245"/>
      <c r="B20" s="246"/>
      <c r="C20" s="246"/>
      <c r="D20" s="246"/>
      <c r="E20" s="246"/>
      <c r="F20" s="47"/>
      <c r="G20" s="22"/>
      <c r="H20" s="22"/>
    </row>
    <row r="21" spans="1:11" ht="15" customHeight="1" x14ac:dyDescent="0.2">
      <c r="A21" s="478"/>
      <c r="B21" s="478"/>
      <c r="C21" s="478"/>
      <c r="D21" s="478"/>
      <c r="E21" s="478"/>
      <c r="F21" s="38"/>
      <c r="G21" s="22"/>
      <c r="H21" s="22"/>
    </row>
    <row r="22" spans="1:11" ht="15" customHeight="1" x14ac:dyDescent="0.2">
      <c r="A22" s="470"/>
      <c r="B22" s="470"/>
      <c r="C22" s="470"/>
      <c r="D22" s="470"/>
      <c r="E22" s="470"/>
      <c r="F22" s="38"/>
      <c r="G22" s="22"/>
      <c r="H22" s="22"/>
    </row>
    <row r="23" spans="1:11" ht="15" customHeight="1" x14ac:dyDescent="0.2">
      <c r="A23" s="479"/>
      <c r="B23" s="479"/>
      <c r="C23" s="479"/>
      <c r="D23" s="479"/>
      <c r="E23" s="479"/>
      <c r="F23" s="38"/>
      <c r="G23" s="22"/>
      <c r="H23" s="22"/>
    </row>
    <row r="24" spans="1:11" ht="15" customHeight="1" x14ac:dyDescent="0.2">
      <c r="A24" s="469"/>
      <c r="B24" s="469"/>
      <c r="C24" s="469"/>
      <c r="D24" s="469"/>
      <c r="E24" s="469"/>
      <c r="F24" s="22"/>
      <c r="G24" s="22"/>
      <c r="H24" s="22"/>
    </row>
    <row r="25" spans="1:11" ht="15" customHeight="1" x14ac:dyDescent="0.2">
      <c r="A25" s="470"/>
      <c r="B25" s="470"/>
      <c r="C25" s="470"/>
      <c r="D25" s="470"/>
      <c r="E25" s="470"/>
      <c r="F25" s="22"/>
      <c r="G25" s="22"/>
      <c r="H25" s="22"/>
    </row>
    <row r="26" spans="1:11" ht="15" customHeight="1" x14ac:dyDescent="0.2">
      <c r="A26" s="470"/>
      <c r="B26" s="470"/>
      <c r="C26" s="470"/>
      <c r="D26" s="470"/>
      <c r="E26" s="470"/>
      <c r="F26" s="22"/>
      <c r="G26" s="22"/>
      <c r="H26" s="22"/>
    </row>
    <row r="27" spans="1:11" ht="15" customHeight="1" x14ac:dyDescent="0.2">
      <c r="A27" s="469"/>
      <c r="B27" s="469"/>
      <c r="C27" s="469"/>
      <c r="D27" s="469"/>
      <c r="E27" s="469"/>
      <c r="F27" s="22"/>
      <c r="G27" s="22"/>
      <c r="H27" s="22"/>
    </row>
    <row r="28" spans="1:11" ht="15" customHeight="1" x14ac:dyDescent="0.2">
      <c r="A28" s="469"/>
      <c r="B28" s="469"/>
      <c r="C28" s="469"/>
      <c r="D28" s="469"/>
      <c r="E28" s="469"/>
      <c r="F28" s="22"/>
      <c r="G28" s="22"/>
      <c r="H28" s="22"/>
      <c r="K28" s="58"/>
    </row>
    <row r="29" spans="1:11" ht="22.5" customHeight="1" x14ac:dyDescent="0.2">
      <c r="A29" s="474" t="s">
        <v>211</v>
      </c>
      <c r="B29" s="474"/>
      <c r="C29" s="474"/>
      <c r="D29" s="474"/>
      <c r="E29" s="474"/>
      <c r="F29" s="247">
        <f>SUM(F12:F28)</f>
        <v>11.75</v>
      </c>
      <c r="G29" s="247">
        <f>ROUND(SUM(G12:G14),2)</f>
        <v>13.31</v>
      </c>
      <c r="H29" s="248">
        <f>SUM(H12:H28)</f>
        <v>1609813.1800000002</v>
      </c>
      <c r="I29" s="59"/>
      <c r="J29" s="58"/>
      <c r="K29" s="58"/>
    </row>
    <row r="30" spans="1:11" ht="12.6" customHeight="1" x14ac:dyDescent="0.2">
      <c r="A30" s="336" t="s">
        <v>36</v>
      </c>
      <c r="B30" s="336"/>
      <c r="C30" s="336"/>
      <c r="D30" s="336"/>
      <c r="E30" s="336"/>
      <c r="F30" s="336" t="s">
        <v>37</v>
      </c>
      <c r="G30" s="336"/>
      <c r="H30" s="336"/>
      <c r="J30" s="58"/>
    </row>
    <row r="31" spans="1:11" ht="12.6" customHeight="1" x14ac:dyDescent="0.2">
      <c r="A31" s="298" t="s">
        <v>38</v>
      </c>
      <c r="B31" s="298"/>
      <c r="C31" s="298"/>
      <c r="D31" s="298"/>
      <c r="E31" s="298"/>
      <c r="F31" s="298" t="s">
        <v>39</v>
      </c>
      <c r="G31" s="298"/>
      <c r="H31" s="298"/>
      <c r="J31" s="60"/>
    </row>
    <row r="32" spans="1:11" ht="12.6" customHeight="1" x14ac:dyDescent="0.2">
      <c r="A32" s="297" t="s">
        <v>40</v>
      </c>
      <c r="B32" s="297"/>
      <c r="C32" s="297"/>
      <c r="D32" s="297"/>
      <c r="E32" s="297"/>
      <c r="F32" s="297"/>
      <c r="G32" s="321" t="s">
        <v>41</v>
      </c>
      <c r="H32" s="321"/>
      <c r="J32" s="60"/>
    </row>
    <row r="33" spans="1:8" ht="24.75" customHeight="1" x14ac:dyDescent="0.2">
      <c r="A33" s="279"/>
      <c r="B33" s="279"/>
      <c r="C33" s="279"/>
      <c r="D33" s="279"/>
      <c r="E33" s="279"/>
      <c r="F33" s="279"/>
      <c r="G33" s="475">
        <v>45281</v>
      </c>
      <c r="H33" s="279"/>
    </row>
    <row r="34" spans="1:8" ht="12" customHeight="1" x14ac:dyDescent="0.2">
      <c r="A34" s="471" t="s">
        <v>212</v>
      </c>
      <c r="B34" s="472"/>
      <c r="C34" s="472"/>
      <c r="D34" s="472"/>
      <c r="E34" s="472"/>
      <c r="F34" s="472"/>
      <c r="G34" s="472"/>
      <c r="H34" s="473"/>
    </row>
    <row r="35" spans="1:8" ht="12" customHeight="1" x14ac:dyDescent="0.2">
      <c r="A35" s="69" t="s">
        <v>213</v>
      </c>
      <c r="B35" s="62"/>
      <c r="C35" s="62"/>
      <c r="D35" s="62"/>
      <c r="E35" s="62"/>
      <c r="F35" s="62"/>
      <c r="G35" s="62"/>
      <c r="H35" s="70"/>
    </row>
    <row r="36" spans="1:8" ht="12" customHeight="1" x14ac:dyDescent="0.2">
      <c r="A36" s="69" t="str">
        <f>CONCATENATE("2 - DF = INDICAR OS % DE CADA TRIBUTO E A SOMA DOS MESMOS (ISS ",F12,"% + PIS 1,65% + COFINS 7,60% = ",F29,"%). ")</f>
        <v xml:space="preserve">2 - DF = INDICAR OS % DE CADA TRIBUTO E A SOMA DOS MESMOS (ISS 2,5% + PIS 1,65% + COFINS 7,60% = 11,75%). </v>
      </c>
      <c r="B36" s="62"/>
      <c r="C36" s="62"/>
      <c r="D36" s="62"/>
      <c r="E36" s="62"/>
      <c r="F36" s="62"/>
      <c r="G36" s="62"/>
      <c r="H36" s="68"/>
    </row>
    <row r="37" spans="1:8" ht="12" customHeight="1" x14ac:dyDescent="0.2">
      <c r="A37" s="69" t="s">
        <v>214</v>
      </c>
      <c r="B37" s="61"/>
      <c r="C37" s="61"/>
      <c r="D37" s="61"/>
      <c r="E37" s="61"/>
      <c r="F37" s="61"/>
      <c r="G37" s="62"/>
      <c r="H37" s="68"/>
    </row>
    <row r="38" spans="1:8" ht="12" customHeight="1" x14ac:dyDescent="0.2">
      <c r="A38" s="69" t="s">
        <v>215</v>
      </c>
      <c r="B38" s="62"/>
      <c r="C38" s="62"/>
      <c r="D38" s="62"/>
      <c r="E38" s="62"/>
      <c r="F38" s="62"/>
      <c r="G38" s="62"/>
      <c r="H38" s="68"/>
    </row>
    <row r="39" spans="1:8" ht="12" customHeight="1" x14ac:dyDescent="0.2">
      <c r="A39" s="71" t="s">
        <v>216</v>
      </c>
      <c r="B39" s="44"/>
      <c r="C39" s="44"/>
      <c r="D39" s="44"/>
      <c r="E39" s="44"/>
      <c r="F39" s="44"/>
      <c r="G39" s="44"/>
      <c r="H39" s="70"/>
    </row>
    <row r="40" spans="1:8" ht="12" customHeight="1" x14ac:dyDescent="0.2">
      <c r="A40" s="69" t="s">
        <v>217</v>
      </c>
      <c r="B40" s="62"/>
      <c r="C40" s="62"/>
      <c r="D40" s="62"/>
      <c r="E40" s="62"/>
      <c r="F40" s="62"/>
      <c r="G40" s="63"/>
      <c r="H40" s="72"/>
    </row>
    <row r="41" spans="1:8" ht="12" customHeight="1" x14ac:dyDescent="0.2">
      <c r="A41" s="73" t="s">
        <v>218</v>
      </c>
      <c r="B41" s="62"/>
      <c r="C41" s="62"/>
      <c r="D41" s="62"/>
      <c r="E41" s="62"/>
      <c r="F41" s="62"/>
      <c r="G41" s="62"/>
      <c r="H41" s="68"/>
    </row>
    <row r="42" spans="1:8" ht="12" customHeight="1" x14ac:dyDescent="0.2">
      <c r="A42" s="73" t="str">
        <f>CONCATENATE("DF' = { [ 1 / ( 1 - (",F29,"%) ] - 1 } x 100)")</f>
        <v>DF' = { [ 1 / ( 1 - (11,75%) ] - 1 } x 100)</v>
      </c>
      <c r="B42" s="62"/>
      <c r="C42" s="62"/>
      <c r="D42" s="62"/>
      <c r="E42" s="62"/>
      <c r="F42" s="62"/>
      <c r="G42" s="62"/>
      <c r="H42" s="68"/>
    </row>
    <row r="43" spans="1:8" ht="12" customHeight="1" x14ac:dyDescent="0.2">
      <c r="A43" s="74" t="str">
        <f>CONCATENATE("DF' = (",G29,"% . APLICAR O % ENCONTRADO NA LINHA H DO FSUP PARA CALCULAR AS DESPESAS FISCAIS)")</f>
        <v>DF' = (13,31% . APLICAR O % ENCONTRADO NA LINHA H DO FSUP PARA CALCULAR AS DESPESAS FISCAIS)</v>
      </c>
      <c r="B43" s="64"/>
      <c r="C43" s="64"/>
      <c r="D43" s="64"/>
      <c r="E43" s="64"/>
      <c r="F43" s="64"/>
      <c r="G43" s="64"/>
      <c r="H43" s="75"/>
    </row>
    <row r="44" spans="1:8" ht="12" customHeight="1" x14ac:dyDescent="0.2">
      <c r="A44" s="76" t="s">
        <v>219</v>
      </c>
      <c r="B44" s="64"/>
      <c r="C44" s="64"/>
      <c r="D44" s="64"/>
      <c r="E44" s="64"/>
      <c r="F44" s="64"/>
      <c r="G44" s="64"/>
      <c r="H44" s="75"/>
    </row>
    <row r="45" spans="1:8" ht="12" customHeight="1" x14ac:dyDescent="0.2">
      <c r="A45" s="77" t="s">
        <v>219</v>
      </c>
      <c r="B45" s="78"/>
      <c r="C45" s="78"/>
      <c r="D45" s="78"/>
      <c r="E45" s="78"/>
      <c r="F45" s="78"/>
      <c r="G45" s="78"/>
      <c r="H45" s="79"/>
    </row>
  </sheetData>
  <sheetProtection selectLockedCells="1" selectUnlockedCells="1"/>
  <mergeCells count="30">
    <mergeCell ref="G32:H32"/>
    <mergeCell ref="A31:E31"/>
    <mergeCell ref="A21:E21"/>
    <mergeCell ref="A3:G4"/>
    <mergeCell ref="A5:H5"/>
    <mergeCell ref="A6:H6"/>
    <mergeCell ref="C7:G7"/>
    <mergeCell ref="A32:F32"/>
    <mergeCell ref="F9:H9"/>
    <mergeCell ref="A25:E25"/>
    <mergeCell ref="A15:E15"/>
    <mergeCell ref="A22:E22"/>
    <mergeCell ref="A23:E23"/>
    <mergeCell ref="A14:E14"/>
    <mergeCell ref="A1:H2"/>
    <mergeCell ref="A24:E24"/>
    <mergeCell ref="A26:E26"/>
    <mergeCell ref="A34:H34"/>
    <mergeCell ref="A28:E28"/>
    <mergeCell ref="A29:E29"/>
    <mergeCell ref="A30:E30"/>
    <mergeCell ref="F30:H30"/>
    <mergeCell ref="G33:H33"/>
    <mergeCell ref="A33:F33"/>
    <mergeCell ref="A9:E10"/>
    <mergeCell ref="A11:E11"/>
    <mergeCell ref="A12:E12"/>
    <mergeCell ref="A13:E13"/>
    <mergeCell ref="A27:E27"/>
    <mergeCell ref="F31:H31"/>
  </mergeCells>
  <phoneticPr fontId="17" type="noConversion"/>
  <printOptions horizontalCentered="1"/>
  <pageMargins left="1.1812499999999999" right="0.59027777777777779" top="1.1812499999999999" bottom="0.59027777777777779" header="0.51180555555555551" footer="0.51180555555555551"/>
  <pageSetup paperSize="9" scale="95" firstPageNumber="0" orientation="portrait" horizontalDpi="4294967294" verticalDpi="4294967294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59"/>
  <sheetViews>
    <sheetView tabSelected="1" topLeftCell="A24" zoomScaleNormal="100" zoomScaleSheetLayoutView="134" workbookViewId="0">
      <pane ySplit="1" topLeftCell="A37" activePane="bottomLeft"/>
      <selection activeCell="L25" sqref="L25"/>
      <selection pane="bottomLeft" activeCell="A3" sqref="A3:G58"/>
    </sheetView>
  </sheetViews>
  <sheetFormatPr defaultColWidth="9" defaultRowHeight="12.75" x14ac:dyDescent="0.2"/>
  <cols>
    <col min="1" max="1" width="6" customWidth="1"/>
    <col min="2" max="2" width="14" customWidth="1"/>
    <col min="3" max="3" width="24.85546875" customWidth="1"/>
    <col min="4" max="4" width="7.42578125" customWidth="1"/>
    <col min="5" max="5" width="9.5703125" customWidth="1"/>
    <col min="6" max="7" width="13.5703125" customWidth="1"/>
  </cols>
  <sheetData>
    <row r="1" spans="1:7" x14ac:dyDescent="0.2">
      <c r="A1" s="384"/>
      <c r="B1" s="384"/>
      <c r="C1" s="384"/>
      <c r="D1" s="384"/>
      <c r="E1" s="384"/>
      <c r="F1" s="384"/>
      <c r="G1" s="384"/>
    </row>
    <row r="2" spans="1:7" x14ac:dyDescent="0.2">
      <c r="A2" s="334"/>
      <c r="B2" s="334"/>
      <c r="C2" s="334"/>
      <c r="D2" s="334"/>
      <c r="E2" s="334"/>
      <c r="F2" s="334"/>
      <c r="G2" s="334"/>
    </row>
    <row r="3" spans="1:7" x14ac:dyDescent="0.2">
      <c r="A3" s="450" t="s">
        <v>220</v>
      </c>
      <c r="B3" s="450"/>
      <c r="C3" s="450"/>
      <c r="D3" s="450"/>
      <c r="E3" s="450"/>
      <c r="F3" s="450"/>
      <c r="G3" s="5" t="s">
        <v>4</v>
      </c>
    </row>
    <row r="4" spans="1:7" ht="18" x14ac:dyDescent="0.2">
      <c r="A4" s="450"/>
      <c r="B4" s="450"/>
      <c r="C4" s="450"/>
      <c r="D4" s="450"/>
      <c r="E4" s="450"/>
      <c r="F4" s="450"/>
      <c r="G4" s="18" t="s">
        <v>221</v>
      </c>
    </row>
    <row r="5" spans="1:7" x14ac:dyDescent="0.2">
      <c r="A5" s="336" t="s">
        <v>6</v>
      </c>
      <c r="B5" s="336"/>
      <c r="C5" s="336"/>
      <c r="D5" s="336"/>
      <c r="E5" s="336"/>
      <c r="F5" s="336"/>
      <c r="G5" s="336"/>
    </row>
    <row r="6" spans="1:7" x14ac:dyDescent="0.2">
      <c r="A6" s="273" t="s">
        <v>7</v>
      </c>
      <c r="B6" s="273"/>
      <c r="C6" s="273"/>
      <c r="D6" s="273"/>
      <c r="E6" s="273"/>
      <c r="F6" s="273"/>
      <c r="G6" s="273"/>
    </row>
    <row r="7" spans="1:7" x14ac:dyDescent="0.2">
      <c r="A7" s="297" t="s">
        <v>8</v>
      </c>
      <c r="B7" s="297"/>
      <c r="C7" s="297" t="s">
        <v>9</v>
      </c>
      <c r="D7" s="297"/>
      <c r="E7" s="297"/>
      <c r="F7" s="297"/>
      <c r="G7" s="6" t="s">
        <v>10</v>
      </c>
    </row>
    <row r="8" spans="1:7" x14ac:dyDescent="0.2">
      <c r="A8" s="10" t="s">
        <v>11</v>
      </c>
      <c r="B8" s="21"/>
      <c r="C8" s="10" t="str">
        <f>FSUP!E8</f>
        <v>Serviços Especializados de Assessoria Ambiental</v>
      </c>
      <c r="D8" s="27"/>
      <c r="E8" s="27"/>
      <c r="F8" s="25"/>
      <c r="G8" s="53" t="s">
        <v>13</v>
      </c>
    </row>
    <row r="9" spans="1:7" ht="13.5" customHeight="1" x14ac:dyDescent="0.2">
      <c r="A9" s="451" t="s">
        <v>128</v>
      </c>
      <c r="B9" s="451"/>
      <c r="C9" s="451"/>
      <c r="D9" s="451"/>
      <c r="E9" s="451"/>
      <c r="F9" s="392" t="s">
        <v>191</v>
      </c>
      <c r="G9" s="392"/>
    </row>
    <row r="10" spans="1:7" x14ac:dyDescent="0.2">
      <c r="A10" s="451"/>
      <c r="B10" s="451"/>
      <c r="C10" s="451"/>
      <c r="D10" s="451"/>
      <c r="E10" s="451"/>
      <c r="F10" s="32" t="s">
        <v>192</v>
      </c>
      <c r="G10" s="32" t="s">
        <v>193</v>
      </c>
    </row>
    <row r="11" spans="1:7" x14ac:dyDescent="0.2">
      <c r="A11" s="106" t="s">
        <v>84</v>
      </c>
      <c r="B11" s="488" t="s">
        <v>222</v>
      </c>
      <c r="C11" s="488"/>
      <c r="D11" s="488"/>
      <c r="E11" s="488"/>
      <c r="F11" s="106"/>
      <c r="G11" s="249"/>
    </row>
    <row r="12" spans="1:7" x14ac:dyDescent="0.2">
      <c r="A12" s="34" t="s">
        <v>223</v>
      </c>
      <c r="B12" s="250" t="s">
        <v>224</v>
      </c>
      <c r="C12" s="251"/>
      <c r="D12" s="251"/>
      <c r="E12" s="251"/>
      <c r="F12" s="170">
        <v>0.01</v>
      </c>
      <c r="G12" s="171">
        <f>ROUND(F12*'FSUP-I EQUIPE TÉCNICA'!L$30,2)</f>
        <v>16319.88</v>
      </c>
    </row>
    <row r="13" spans="1:7" x14ac:dyDescent="0.2">
      <c r="A13" s="34" t="s">
        <v>225</v>
      </c>
      <c r="B13" s="250" t="s">
        <v>226</v>
      </c>
      <c r="C13" s="251"/>
      <c r="D13" s="251"/>
      <c r="E13" s="251"/>
      <c r="F13" s="170">
        <v>0.2</v>
      </c>
      <c r="G13" s="171">
        <f>ROUND(F13*'FSUP-I EQUIPE TÉCNICA'!L$30,2)</f>
        <v>326397.65999999997</v>
      </c>
    </row>
    <row r="14" spans="1:7" x14ac:dyDescent="0.2">
      <c r="A14" s="34" t="s">
        <v>227</v>
      </c>
      <c r="B14" s="250" t="s">
        <v>228</v>
      </c>
      <c r="C14" s="251"/>
      <c r="D14" s="251"/>
      <c r="E14" s="251"/>
      <c r="F14" s="170">
        <v>0.08</v>
      </c>
      <c r="G14" s="171">
        <f>ROUND(F14*'FSUP-I EQUIPE TÉCNICA'!L$30,2)</f>
        <v>130559.06</v>
      </c>
    </row>
    <row r="15" spans="1:7" x14ac:dyDescent="0.2">
      <c r="A15" s="34" t="s">
        <v>229</v>
      </c>
      <c r="B15" s="250" t="s">
        <v>230</v>
      </c>
      <c r="C15" s="251"/>
      <c r="D15" s="251"/>
      <c r="E15" s="251"/>
      <c r="F15" s="170">
        <v>2E-3</v>
      </c>
      <c r="G15" s="171">
        <f>ROUND(F15*'FSUP-I EQUIPE TÉCNICA'!L$30,2)</f>
        <v>3263.98</v>
      </c>
    </row>
    <row r="16" spans="1:7" x14ac:dyDescent="0.2">
      <c r="A16" s="34" t="s">
        <v>231</v>
      </c>
      <c r="B16" s="250" t="s">
        <v>232</v>
      </c>
      <c r="C16" s="251"/>
      <c r="D16" s="251"/>
      <c r="E16" s="251"/>
      <c r="F16" s="170">
        <v>2.5000000000000001E-2</v>
      </c>
      <c r="G16" s="171">
        <f>ROUND(F16*'FSUP-I EQUIPE TÉCNICA'!L$30,2)</f>
        <v>40799.71</v>
      </c>
    </row>
    <row r="17" spans="1:7" x14ac:dyDescent="0.2">
      <c r="A17" s="34" t="s">
        <v>233</v>
      </c>
      <c r="B17" s="250" t="s">
        <v>234</v>
      </c>
      <c r="C17" s="251"/>
      <c r="D17" s="251"/>
      <c r="E17" s="251"/>
      <c r="F17" s="170">
        <v>6.0000000000000001E-3</v>
      </c>
      <c r="G17" s="171">
        <f>ROUND(F17*'FSUP-I EQUIPE TÉCNICA'!L$30,2)</f>
        <v>9791.93</v>
      </c>
    </row>
    <row r="18" spans="1:7" x14ac:dyDescent="0.2">
      <c r="A18" s="34" t="s">
        <v>235</v>
      </c>
      <c r="B18" s="250" t="s">
        <v>236</v>
      </c>
      <c r="C18" s="251"/>
      <c r="D18" s="251"/>
      <c r="E18" s="251"/>
      <c r="F18" s="170">
        <v>0.03</v>
      </c>
      <c r="G18" s="171">
        <f>ROUND(F18*'FSUP-I EQUIPE TÉCNICA'!L$30,2)</f>
        <v>48959.65</v>
      </c>
    </row>
    <row r="19" spans="1:7" x14ac:dyDescent="0.2">
      <c r="A19" s="34" t="s">
        <v>237</v>
      </c>
      <c r="B19" s="250" t="s">
        <v>238</v>
      </c>
      <c r="C19" s="251"/>
      <c r="D19" s="251"/>
      <c r="E19" s="251"/>
      <c r="F19" s="170">
        <v>0.01</v>
      </c>
      <c r="G19" s="171">
        <f>ROUND(F19*'FSUP-I EQUIPE TÉCNICA'!L$30,2)</f>
        <v>16319.88</v>
      </c>
    </row>
    <row r="20" spans="1:7" x14ac:dyDescent="0.2">
      <c r="A20" s="34" t="s">
        <v>239</v>
      </c>
      <c r="B20" s="250" t="s">
        <v>240</v>
      </c>
      <c r="C20" s="251"/>
      <c r="D20" s="251"/>
      <c r="E20" s="251"/>
      <c r="F20" s="172">
        <v>1.4999999999999999E-2</v>
      </c>
      <c r="G20" s="171">
        <f>ROUND(F20*'FSUP-I EQUIPE TÉCNICA'!L$30,2)</f>
        <v>24479.82</v>
      </c>
    </row>
    <row r="21" spans="1:7" x14ac:dyDescent="0.2">
      <c r="A21" s="481" t="s">
        <v>241</v>
      </c>
      <c r="B21" s="481"/>
      <c r="C21" s="481"/>
      <c r="D21" s="481"/>
      <c r="E21" s="481"/>
      <c r="F21" s="252">
        <f>ROUND(SUM(F12:F20),4)</f>
        <v>0.378</v>
      </c>
      <c r="G21" s="253">
        <f>ROUND(SUM(G12:G20),2)</f>
        <v>616891.56999999995</v>
      </c>
    </row>
    <row r="22" spans="1:7" x14ac:dyDescent="0.2">
      <c r="A22" s="492"/>
      <c r="B22" s="492"/>
      <c r="C22" s="492"/>
      <c r="D22" s="492"/>
      <c r="E22" s="492"/>
      <c r="F22" s="492"/>
      <c r="G22" s="173"/>
    </row>
    <row r="23" spans="1:7" x14ac:dyDescent="0.2">
      <c r="A23" s="174" t="s">
        <v>242</v>
      </c>
      <c r="B23" s="493" t="s">
        <v>243</v>
      </c>
      <c r="C23" s="483"/>
      <c r="D23" s="483"/>
      <c r="E23" s="483"/>
      <c r="F23" s="175"/>
      <c r="G23" s="176"/>
    </row>
    <row r="24" spans="1:7" x14ac:dyDescent="0.2">
      <c r="A24" s="254" t="s">
        <v>64</v>
      </c>
      <c r="B24" s="255" t="s">
        <v>244</v>
      </c>
      <c r="C24" s="177"/>
      <c r="D24" s="177"/>
      <c r="E24" s="177"/>
      <c r="F24" s="256">
        <v>0</v>
      </c>
      <c r="G24" s="171">
        <f>ROUND(F24*'FSUP-I EQUIPE TÉCNICA'!L$30,2)</f>
        <v>0</v>
      </c>
    </row>
    <row r="25" spans="1:7" x14ac:dyDescent="0.2">
      <c r="A25" s="254" t="s">
        <v>65</v>
      </c>
      <c r="B25" s="494" t="s">
        <v>245</v>
      </c>
      <c r="C25" s="495"/>
      <c r="D25" s="177"/>
      <c r="E25" s="177"/>
      <c r="F25" s="256">
        <v>0</v>
      </c>
      <c r="G25" s="171">
        <f>ROUND(F25*'FSUP-I EQUIPE TÉCNICA'!L$30,2)</f>
        <v>0</v>
      </c>
    </row>
    <row r="26" spans="1:7" x14ac:dyDescent="0.2">
      <c r="A26" s="254" t="s">
        <v>246</v>
      </c>
      <c r="B26" s="496" t="s">
        <v>247</v>
      </c>
      <c r="C26" s="497"/>
      <c r="D26" s="177"/>
      <c r="E26" s="177"/>
      <c r="F26" s="256">
        <v>6.6E-3</v>
      </c>
      <c r="G26" s="171">
        <f>ROUND(F26*'FSUP-I EQUIPE TÉCNICA'!L$30,2)</f>
        <v>10771.12</v>
      </c>
    </row>
    <row r="27" spans="1:7" x14ac:dyDescent="0.2">
      <c r="A27" s="254" t="s">
        <v>248</v>
      </c>
      <c r="B27" s="496" t="s">
        <v>249</v>
      </c>
      <c r="C27" s="497"/>
      <c r="D27" s="177"/>
      <c r="E27" s="177"/>
      <c r="F27" s="256">
        <v>8.3299999999999999E-2</v>
      </c>
      <c r="G27" s="171">
        <f>ROUND(F27*'FSUP-I EQUIPE TÉCNICA'!L$30,2)</f>
        <v>135944.63</v>
      </c>
    </row>
    <row r="28" spans="1:7" x14ac:dyDescent="0.2">
      <c r="A28" s="254" t="s">
        <v>250</v>
      </c>
      <c r="B28" s="496" t="s">
        <v>251</v>
      </c>
      <c r="C28" s="497"/>
      <c r="D28" s="177"/>
      <c r="E28" s="177"/>
      <c r="F28" s="256">
        <v>5.0000000000000001E-4</v>
      </c>
      <c r="G28" s="171">
        <f>ROUND(F28*'FSUP-I EQUIPE TÉCNICA'!L$30,2)</f>
        <v>815.99</v>
      </c>
    </row>
    <row r="29" spans="1:7" x14ac:dyDescent="0.2">
      <c r="A29" s="254" t="s">
        <v>252</v>
      </c>
      <c r="B29" s="496" t="s">
        <v>253</v>
      </c>
      <c r="C29" s="497"/>
      <c r="D29" s="177"/>
      <c r="E29" s="177"/>
      <c r="F29" s="256">
        <v>5.0000000000000001E-4</v>
      </c>
      <c r="G29" s="171">
        <f>ROUND(F29*'FSUP-I EQUIPE TÉCNICA'!L$30,2)</f>
        <v>815.99</v>
      </c>
    </row>
    <row r="30" spans="1:7" x14ac:dyDescent="0.2">
      <c r="A30" s="254" t="s">
        <v>254</v>
      </c>
      <c r="B30" s="496" t="s">
        <v>255</v>
      </c>
      <c r="C30" s="497"/>
      <c r="D30" s="177"/>
      <c r="E30" s="177"/>
      <c r="F30" s="256">
        <v>0</v>
      </c>
      <c r="G30" s="171">
        <f>ROUND(F30*'FSUP-I EQUIPE TÉCNICA'!L$30,2)</f>
        <v>0</v>
      </c>
    </row>
    <row r="31" spans="1:7" x14ac:dyDescent="0.2">
      <c r="A31" s="254" t="s">
        <v>256</v>
      </c>
      <c r="B31" s="496" t="s">
        <v>257</v>
      </c>
      <c r="C31" s="497"/>
      <c r="D31" s="177"/>
      <c r="E31" s="177"/>
      <c r="F31" s="256">
        <v>8.0000000000000004E-4</v>
      </c>
      <c r="G31" s="171">
        <f>ROUND(F31*'FSUP-I EQUIPE TÉCNICA'!L$30,2)</f>
        <v>1305.5899999999999</v>
      </c>
    </row>
    <row r="32" spans="1:7" x14ac:dyDescent="0.2">
      <c r="A32" s="254" t="s">
        <v>258</v>
      </c>
      <c r="B32" s="496" t="s">
        <v>259</v>
      </c>
      <c r="C32" s="497"/>
      <c r="D32" s="177"/>
      <c r="E32" s="177"/>
      <c r="F32" s="256">
        <v>0.06</v>
      </c>
      <c r="G32" s="171">
        <f>ROUND(F32*'FSUP-I EQUIPE TÉCNICA'!L$30,2)</f>
        <v>97919.3</v>
      </c>
    </row>
    <row r="33" spans="1:7" x14ac:dyDescent="0.2">
      <c r="A33" s="254" t="s">
        <v>260</v>
      </c>
      <c r="B33" s="496" t="s">
        <v>261</v>
      </c>
      <c r="C33" s="497"/>
      <c r="D33" s="257"/>
      <c r="E33" s="257"/>
      <c r="F33" s="256">
        <v>2.9999999999999997E-4</v>
      </c>
      <c r="G33" s="171">
        <f>ROUND(F33*'FSUP-I EQUIPE TÉCNICA'!L$30,2)</f>
        <v>489.6</v>
      </c>
    </row>
    <row r="34" spans="1:7" x14ac:dyDescent="0.2">
      <c r="A34" s="481" t="s">
        <v>262</v>
      </c>
      <c r="B34" s="507"/>
      <c r="C34" s="507"/>
      <c r="D34" s="481"/>
      <c r="E34" s="481"/>
      <c r="F34" s="178">
        <f>ROUND(SUM(F24:F33),4)</f>
        <v>0.152</v>
      </c>
      <c r="G34" s="253">
        <f>ROUND(SUM(G24:G33),2)</f>
        <v>248062.22</v>
      </c>
    </row>
    <row r="35" spans="1:7" x14ac:dyDescent="0.2">
      <c r="A35" s="179"/>
      <c r="B35" s="508"/>
      <c r="C35" s="508"/>
      <c r="D35" s="508"/>
      <c r="E35" s="508"/>
      <c r="F35" s="508"/>
      <c r="G35" s="508"/>
    </row>
    <row r="36" spans="1:7" x14ac:dyDescent="0.2">
      <c r="A36" s="174" t="s">
        <v>68</v>
      </c>
      <c r="B36" s="483" t="s">
        <v>263</v>
      </c>
      <c r="C36" s="483"/>
      <c r="D36" s="483"/>
      <c r="E36" s="483"/>
      <c r="F36" s="174"/>
      <c r="G36" s="176"/>
    </row>
    <row r="37" spans="1:7" x14ac:dyDescent="0.2">
      <c r="A37" s="34" t="s">
        <v>264</v>
      </c>
      <c r="B37" s="480" t="s">
        <v>265</v>
      </c>
      <c r="C37" s="480"/>
      <c r="D37" s="480"/>
      <c r="E37" s="480"/>
      <c r="F37" s="170">
        <v>2.6100000000000002E-2</v>
      </c>
      <c r="G37" s="171">
        <f>ROUND(F37*'FSUP-I EQUIPE TÉCNICA'!L$30,2)</f>
        <v>42594.89</v>
      </c>
    </row>
    <row r="38" spans="1:7" x14ac:dyDescent="0.2">
      <c r="A38" s="34" t="s">
        <v>266</v>
      </c>
      <c r="B38" s="480" t="s">
        <v>267</v>
      </c>
      <c r="C38" s="480"/>
      <c r="D38" s="480"/>
      <c r="E38" s="480"/>
      <c r="F38" s="170">
        <v>0.04</v>
      </c>
      <c r="G38" s="171">
        <f>ROUND(F38*'FSUP-I EQUIPE TÉCNICA'!L$30,2)</f>
        <v>65279.53</v>
      </c>
    </row>
    <row r="39" spans="1:7" x14ac:dyDescent="0.2">
      <c r="A39" s="34" t="s">
        <v>268</v>
      </c>
      <c r="B39" s="504" t="s">
        <v>269</v>
      </c>
      <c r="C39" s="505"/>
      <c r="D39" s="505"/>
      <c r="E39" s="506"/>
      <c r="F39" s="180">
        <v>1E-3</v>
      </c>
      <c r="G39" s="171">
        <f>ROUND(F39*'FSUP-I EQUIPE TÉCNICA'!L$30,2)</f>
        <v>1631.99</v>
      </c>
    </row>
    <row r="40" spans="1:7" x14ac:dyDescent="0.2">
      <c r="A40" s="34" t="s">
        <v>270</v>
      </c>
      <c r="B40" s="480" t="s">
        <v>271</v>
      </c>
      <c r="C40" s="480"/>
      <c r="D40" s="480"/>
      <c r="E40" s="480"/>
      <c r="F40" s="180">
        <v>8.0000000000000004E-4</v>
      </c>
      <c r="G40" s="171">
        <f>ROUND(F40*'FSUP-I EQUIPE TÉCNICA'!L$30,2)</f>
        <v>1305.5899999999999</v>
      </c>
    </row>
    <row r="41" spans="1:7" x14ac:dyDescent="0.2">
      <c r="A41" s="34" t="s">
        <v>272</v>
      </c>
      <c r="B41" s="480" t="s">
        <v>273</v>
      </c>
      <c r="C41" s="480"/>
      <c r="D41" s="480"/>
      <c r="E41" s="480"/>
      <c r="F41" s="180">
        <v>3.2399999999999998E-2</v>
      </c>
      <c r="G41" s="171">
        <f>ROUND(F41*'FSUP-I EQUIPE TÉCNICA'!L$30,2)</f>
        <v>52876.42</v>
      </c>
    </row>
    <row r="42" spans="1:7" x14ac:dyDescent="0.2">
      <c r="A42" s="481" t="s">
        <v>274</v>
      </c>
      <c r="B42" s="481"/>
      <c r="C42" s="481"/>
      <c r="D42" s="481"/>
      <c r="E42" s="481"/>
      <c r="F42" s="252">
        <f>ROUND(SUM(F37:F41),4)</f>
        <v>0.1003</v>
      </c>
      <c r="G42" s="253">
        <f>ROUND(SUM(G37:G41),2)</f>
        <v>163688.42000000001</v>
      </c>
    </row>
    <row r="43" spans="1:7" x14ac:dyDescent="0.2">
      <c r="A43" s="482"/>
      <c r="B43" s="482"/>
      <c r="C43" s="482"/>
      <c r="D43" s="482"/>
      <c r="E43" s="482"/>
      <c r="F43" s="482"/>
      <c r="G43" s="482"/>
    </row>
    <row r="44" spans="1:7" x14ac:dyDescent="0.2">
      <c r="A44" s="174" t="s">
        <v>275</v>
      </c>
      <c r="B44" s="483" t="s">
        <v>276</v>
      </c>
      <c r="C44" s="483"/>
      <c r="D44" s="483"/>
      <c r="E44" s="483"/>
      <c r="F44" s="174"/>
      <c r="G44" s="176"/>
    </row>
    <row r="45" spans="1:7" x14ac:dyDescent="0.2">
      <c r="A45" s="34" t="s">
        <v>277</v>
      </c>
      <c r="B45" s="484" t="s">
        <v>278</v>
      </c>
      <c r="C45" s="484"/>
      <c r="D45" s="484"/>
      <c r="E45" s="484"/>
      <c r="F45" s="170">
        <v>5.9499999999999997E-2</v>
      </c>
      <c r="G45" s="171">
        <f>ROUND(F45*'FSUP-I EQUIPE TÉCNICA'!L$30,2)</f>
        <v>97103.3</v>
      </c>
    </row>
    <row r="46" spans="1:7" x14ac:dyDescent="0.2">
      <c r="A46" s="34" t="s">
        <v>279</v>
      </c>
      <c r="B46" s="484" t="s">
        <v>280</v>
      </c>
      <c r="C46" s="484"/>
      <c r="D46" s="484"/>
      <c r="E46" s="484"/>
      <c r="F46" s="180">
        <v>2.8999999999999998E-3</v>
      </c>
      <c r="G46" s="171">
        <f>ROUND(F46*'FSUP-I EQUIPE TÉCNICA'!L$30,2)</f>
        <v>4732.7700000000004</v>
      </c>
    </row>
    <row r="47" spans="1:7" x14ac:dyDescent="0.2">
      <c r="A47" s="481" t="s">
        <v>281</v>
      </c>
      <c r="B47" s="481"/>
      <c r="C47" s="481"/>
      <c r="D47" s="481"/>
      <c r="E47" s="481"/>
      <c r="F47" s="252">
        <f>SUM(F45:F46)</f>
        <v>6.2399999999999997E-2</v>
      </c>
      <c r="G47" s="253">
        <f>ROUND(SUM(G45:G46),2)</f>
        <v>101836.07</v>
      </c>
    </row>
    <row r="48" spans="1:7" x14ac:dyDescent="0.2">
      <c r="A48" s="181"/>
      <c r="B48" s="182"/>
      <c r="C48" s="182"/>
      <c r="D48" s="182"/>
      <c r="E48" s="182"/>
      <c r="F48" s="183"/>
      <c r="G48" s="184"/>
    </row>
    <row r="49" spans="1:7" x14ac:dyDescent="0.2">
      <c r="A49" s="509" t="s">
        <v>282</v>
      </c>
      <c r="B49" s="509"/>
      <c r="C49" s="509"/>
      <c r="D49" s="509"/>
      <c r="E49" s="509"/>
      <c r="F49" s="185">
        <f>ROUND(F21+F34+F42+F47,4)</f>
        <v>0.69269999999999998</v>
      </c>
      <c r="G49" s="186">
        <f>ROUND(G21+G34+G42+G47,2)</f>
        <v>1130478.28</v>
      </c>
    </row>
    <row r="50" spans="1:7" x14ac:dyDescent="0.2">
      <c r="A50" s="43" t="s">
        <v>36</v>
      </c>
      <c r="B50" s="44"/>
      <c r="C50" s="45"/>
      <c r="D50" s="43" t="s">
        <v>37</v>
      </c>
      <c r="E50" s="44"/>
      <c r="F50" s="44"/>
      <c r="G50" s="45"/>
    </row>
    <row r="51" spans="1:7" x14ac:dyDescent="0.2">
      <c r="A51" s="489" t="s">
        <v>38</v>
      </c>
      <c r="B51" s="490"/>
      <c r="C51" s="328"/>
      <c r="D51" s="489" t="s">
        <v>39</v>
      </c>
      <c r="E51" s="490"/>
      <c r="F51" s="490"/>
      <c r="G51" s="328"/>
    </row>
    <row r="52" spans="1:7" x14ac:dyDescent="0.2">
      <c r="A52" s="501" t="s">
        <v>40</v>
      </c>
      <c r="B52" s="502"/>
      <c r="C52" s="502"/>
      <c r="D52" s="502"/>
      <c r="E52" s="503"/>
      <c r="F52" s="501" t="s">
        <v>41</v>
      </c>
      <c r="G52" s="503"/>
    </row>
    <row r="53" spans="1:7" x14ac:dyDescent="0.2">
      <c r="A53" s="498"/>
      <c r="B53" s="499"/>
      <c r="C53" s="499"/>
      <c r="D53" s="499"/>
      <c r="E53" s="500"/>
      <c r="F53" s="491">
        <v>45281</v>
      </c>
      <c r="G53" s="330"/>
    </row>
    <row r="54" spans="1:7" x14ac:dyDescent="0.2">
      <c r="A54" s="29" t="s">
        <v>212</v>
      </c>
      <c r="B54" s="26"/>
      <c r="C54" s="26"/>
      <c r="D54" s="26"/>
      <c r="E54" s="26"/>
      <c r="F54" s="26"/>
      <c r="G54" s="54"/>
    </row>
    <row r="55" spans="1:7" x14ac:dyDescent="0.2">
      <c r="A55" s="43" t="s">
        <v>283</v>
      </c>
      <c r="B55" s="44"/>
      <c r="C55" s="44"/>
      <c r="D55" s="44"/>
      <c r="E55" s="44"/>
      <c r="F55" s="44"/>
      <c r="G55" s="45"/>
    </row>
    <row r="56" spans="1:7" x14ac:dyDescent="0.2">
      <c r="A56" s="485" t="s">
        <v>284</v>
      </c>
      <c r="B56" s="486"/>
      <c r="C56" s="486"/>
      <c r="D56" s="486"/>
      <c r="E56" s="486"/>
      <c r="F56" s="486"/>
      <c r="G56" s="487"/>
    </row>
    <row r="57" spans="1:7" x14ac:dyDescent="0.2">
      <c r="A57" s="485"/>
      <c r="B57" s="486"/>
      <c r="C57" s="486"/>
      <c r="D57" s="486"/>
      <c r="E57" s="486"/>
      <c r="F57" s="486"/>
      <c r="G57" s="487"/>
    </row>
    <row r="58" spans="1:7" x14ac:dyDescent="0.2">
      <c r="A58" s="29" t="s">
        <v>285</v>
      </c>
      <c r="B58" s="26"/>
      <c r="C58" s="26"/>
      <c r="D58" s="26"/>
      <c r="E58" s="26"/>
      <c r="F58" s="26"/>
      <c r="G58" s="54"/>
    </row>
    <row r="59" spans="1:7" x14ac:dyDescent="0.2">
      <c r="A59" s="50"/>
      <c r="B59" s="51"/>
      <c r="C59" s="51"/>
      <c r="D59" s="51"/>
      <c r="E59" s="51"/>
      <c r="F59" s="51"/>
      <c r="G59" s="52"/>
    </row>
  </sheetData>
  <sheetProtection selectLockedCells="1" selectUnlockedCells="1"/>
  <mergeCells count="43">
    <mergeCell ref="A53:E53"/>
    <mergeCell ref="A52:E52"/>
    <mergeCell ref="F52:G52"/>
    <mergeCell ref="B30:C30"/>
    <mergeCell ref="B31:C31"/>
    <mergeCell ref="B32:C32"/>
    <mergeCell ref="B33:C33"/>
    <mergeCell ref="B39:E39"/>
    <mergeCell ref="A34:E34"/>
    <mergeCell ref="B35:G35"/>
    <mergeCell ref="A49:E49"/>
    <mergeCell ref="B36:E36"/>
    <mergeCell ref="B37:E37"/>
    <mergeCell ref="B38:E38"/>
    <mergeCell ref="B41:E41"/>
    <mergeCell ref="B46:E46"/>
    <mergeCell ref="B25:C25"/>
    <mergeCell ref="B26:C26"/>
    <mergeCell ref="B27:C27"/>
    <mergeCell ref="B28:C28"/>
    <mergeCell ref="B29:C29"/>
    <mergeCell ref="A56:G57"/>
    <mergeCell ref="A1:G2"/>
    <mergeCell ref="B11:E11"/>
    <mergeCell ref="A3:F4"/>
    <mergeCell ref="A5:G5"/>
    <mergeCell ref="A6:G6"/>
    <mergeCell ref="A7:B7"/>
    <mergeCell ref="C7:F7"/>
    <mergeCell ref="A9:E10"/>
    <mergeCell ref="F9:G9"/>
    <mergeCell ref="A51:C51"/>
    <mergeCell ref="D51:G51"/>
    <mergeCell ref="F53:G53"/>
    <mergeCell ref="A21:E21"/>
    <mergeCell ref="A22:F22"/>
    <mergeCell ref="B23:E23"/>
    <mergeCell ref="B40:E40"/>
    <mergeCell ref="A47:E47"/>
    <mergeCell ref="A43:G43"/>
    <mergeCell ref="B44:E44"/>
    <mergeCell ref="B45:E45"/>
    <mergeCell ref="A42:E42"/>
  </mergeCells>
  <phoneticPr fontId="17" type="noConversion"/>
  <printOptions horizontalCentered="1"/>
  <pageMargins left="0.59055118110236227" right="0.59055118110236227" top="1.1811023622047245" bottom="0.59055118110236227" header="0.51181102362204722" footer="0.51181102362204722"/>
  <pageSetup paperSize="9" scale="95" firstPageNumber="0" orientation="portrait" horizontalDpi="4294967294" verticalDpi="4294967294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DA945679F5254D9057DCDA603BE6C4" ma:contentTypeVersion="11" ma:contentTypeDescription="Crie um novo documento." ma:contentTypeScope="" ma:versionID="9cb0c19c4142a748587afb9d1b4b749d">
  <xsd:schema xmlns:xsd="http://www.w3.org/2001/XMLSchema" xmlns:xs="http://www.w3.org/2001/XMLSchema" xmlns:p="http://schemas.microsoft.com/office/2006/metadata/properties" xmlns:ns2="91b931b2-e797-429f-83a4-9a248d842908" xmlns:ns3="87698b5b-40bc-44cc-b67e-dc48fb0bcfd2" targetNamespace="http://schemas.microsoft.com/office/2006/metadata/properties" ma:root="true" ma:fieldsID="ee7d689165bf980eed65e2db96a7bd8d" ns2:_="" ns3:_="">
    <xsd:import namespace="91b931b2-e797-429f-83a4-9a248d842908"/>
    <xsd:import namespace="87698b5b-40bc-44cc-b67e-dc48fb0bcf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b931b2-e797-429f-83a4-9a248d8429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d5e14479-1010-4621-98f4-e9a7497c69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698b5b-40bc-44cc-b67e-dc48fb0bcfd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1835d2a-fafb-4d2d-8beb-0abccf570498}" ma:internalName="TaxCatchAll" ma:showField="CatchAllData" ma:web="87698b5b-40bc-44cc-b67e-dc48fb0bcf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698b5b-40bc-44cc-b67e-dc48fb0bcfd2" xsi:nil="true"/>
    <lcf76f155ced4ddcb4097134ff3c332f xmlns="91b931b2-e797-429f-83a4-9a248d84290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6211DD5-59E5-4A29-B711-F7F6D0811E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b931b2-e797-429f-83a4-9a248d842908"/>
    <ds:schemaRef ds:uri="87698b5b-40bc-44cc-b67e-dc48fb0bcf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2C05E00-A230-47C5-9063-8B3A7858B9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C5E78C8-A836-4024-84CE-96AC0341B6D4}">
  <ds:schemaRefs>
    <ds:schemaRef ds:uri="http://schemas.microsoft.com/office/2006/metadata/properties"/>
    <ds:schemaRef ds:uri="http://schemas.microsoft.com/office/infopath/2007/PartnerControls"/>
    <ds:schemaRef ds:uri="87698b5b-40bc-44cc-b67e-dc48fb0bcfd2"/>
    <ds:schemaRef ds:uri="91b931b2-e797-429f-83a4-9a248d84290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7</vt:i4>
      </vt:variant>
    </vt:vector>
  </HeadingPairs>
  <TitlesOfParts>
    <vt:vector size="16" baseType="lpstr">
      <vt:lpstr>Resumo</vt:lpstr>
      <vt:lpstr>FSUP</vt:lpstr>
      <vt:lpstr>FSUP-I EQUIPE TÉCNICA</vt:lpstr>
      <vt:lpstr>FSUP-II VIAGENS</vt:lpstr>
      <vt:lpstr>FSUP-III Manutenção Operac</vt:lpstr>
      <vt:lpstr>FSUP-IV Mobiliz Desmob</vt:lpstr>
      <vt:lpstr>FSUP-V Det. custos Adm.</vt:lpstr>
      <vt:lpstr>FSUP-VI Det. Desp Fiscais</vt:lpstr>
      <vt:lpstr>FSUP-VII Det. Enc. Sociais</vt:lpstr>
      <vt:lpstr>FSUP!Area_de_impressao</vt:lpstr>
      <vt:lpstr>'FSUP-I EQUIPE TÉCNICA'!Area_de_impressao</vt:lpstr>
      <vt:lpstr>'FSUP-II VIAGENS'!Area_de_impressao</vt:lpstr>
      <vt:lpstr>'FSUP-III Manutenção Operac'!Area_de_impressao</vt:lpstr>
      <vt:lpstr>'FSUP-IV Mobiliz Desmob'!Area_de_impressao</vt:lpstr>
      <vt:lpstr>'FSUP-VI Det. Desp Fiscais'!Area_de_impressao</vt:lpstr>
      <vt:lpstr>Resumo!Area_de_impressao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Bárbara Ferreira Mafra</dc:creator>
  <cp:keywords/>
  <dc:description/>
  <cp:lastModifiedBy>kleng</cp:lastModifiedBy>
  <cp:revision/>
  <dcterms:created xsi:type="dcterms:W3CDTF">2013-04-19T14:21:46Z</dcterms:created>
  <dcterms:modified xsi:type="dcterms:W3CDTF">2023-12-21T12:47:50Z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25017198-8a3e-4f11-9633-1efd0d7c8af1</vt:lpwstr>
  </property>
  <property fmtid="{D5CDD505-2E9C-101B-9397-08002B2CF9AE}" pid="3" name="ContentTypeId">
    <vt:lpwstr>0x010100A6DA945679F5254D9057DCDA603BE6C4</vt:lpwstr>
  </property>
  <property fmtid="{D5CDD505-2E9C-101B-9397-08002B2CF9AE}" pid="4" name="MediaServiceImageTags">
    <vt:lpwstr/>
  </property>
</Properties>
</file>